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<sst xmlns="http://schemas.openxmlformats.org/spreadsheetml/2006/main" count="1127" uniqueCount="863">
  <si>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</si>
  <si>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</si>
  <si>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</si>
  <si>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</si>
  <si>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</si>
  <si>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</si>
  <si>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</si>
  <si>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</si>
  <si>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</si>
  <si>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</si>
  <si>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</si>
  <si>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</si>
  <si>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</si>
  <si>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</si>
  <si>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</si>
  <si>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</si>
  <si>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</si>
  <si>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</si>
  <si>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</si>
  <si>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</si>
  <si>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</si>
  <si>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</si>
  <si>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</si>
  <si>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</si>
  <si>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</si>
  <si>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</si>
  <si>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</si>
  <si>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</si>
  <si>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</si>
  <si>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</si>
  <si>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</si>
  <si>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</si>
  <si>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</si>
  <si>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</si>
  <si>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</si>
  <si>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</si>
  <si>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</si>
  <si>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</si>
  <si>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</si>
  <si>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</si>
  <si>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</si>
  <si>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</si>
  <si>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</si>
  <si>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</si>
  <si>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</si>
  <si>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</si>
  <si>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</si>
  <si>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</si>
  <si>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</si>
  <si>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</si>
  <si>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</si>
  <si>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</si>
  <si>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</si>
  <si>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</si>
  <si>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</si>
  <si>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</si>
  <si>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</si>
  <si>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</si>
  <si>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</si>
  <si>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</si>
  <si>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</si>
  <si>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</si>
  <si>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</si>
  <si>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</si>
  <si>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</si>
  <si>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</si>
  <si>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</si>
  <si>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</si>
  <si>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</si>
  <si>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</si>
  <si>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</si>
  <si>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</si>
  <si>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</si>
  <si>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</si>
  <si>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</si>
  <si>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</si>
  <si>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</si>
  <si>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</si>
  <si>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</si>
  <si>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</si>
  <si>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</si>
  <si>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</si>
  <si>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</si>
  <si>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</si>
  <si>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</si>
  <si>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</si>
  <si>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</si>
  <si>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</si>
  <si>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</si>
  <si>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</si>
  <si>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</si>
  <si>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</si>
  <si>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</si>
  <si>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</si>
  <si>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</si>
  <si>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</si>
  <si>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</si>
  <si>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</si>
  <si>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</si>
  <si>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</si>
  <si>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</si>
  <si>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</si>
  <si>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</si>
  <si>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</si>
  <si>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</si>
  <si>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</si>
  <si>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</si>
  <si>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</si>
  <si>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</si>
  <si>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</si>
  <si>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</si>
  <si>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</si>
  <si>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</si>
  <si>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</si>
  <si>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</si>
  <si>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</si>
  <si>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</si>
  <si>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</si>
  <si>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</si>
  <si>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</si>
  <si>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</si>
  <si>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</si>
  <si>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</si>
  <si>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</si>
  <si>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</si>
  <si>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</si>
  <si>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</si>
  <si>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</si>
  <si>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</si>
  <si>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</si>
  <si>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</si>
  <si>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</si>
  <si>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</si>
  <si>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</si>
  <si>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</si>
  <si>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</si>
  <si>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</si>
  <si>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</si>
  <si>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</si>
  <si>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</si>
  <si>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</si>
  <si>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</si>
  <si>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</si>
  <si>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</si>
  <si>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</si>
  <si>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</si>
  <si>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</si>
  <si>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</si>
  <si>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</si>
  <si>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</si>
  <si>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</si>
  <si>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</si>
  <si>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</si>
  <si>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</si>
  <si>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</si>
  <si>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</si>
  <si>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</si>
  <si>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</si>
  <si>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</si>
  <si>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</si>
  <si>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</si>
  <si>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</si>
  <si>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</si>
  <si>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</si>
  <si>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</si>
  <si>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</si>
  <si>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</si>
  <si>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</si>
  <si>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</si>
  <si>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</si>
  <si>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</si>
  <si>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</si>
  <si>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</si>
  <si>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</si>
  <si>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</si>
  <si>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</si>
  <si>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</si>
  <si>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</si>
  <si>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</si>
  <si>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</si>
  <si>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</si>
  <si>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</si>
  <si>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</si>
  <si>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</si>
  <si>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</si>
  <si>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</si>
  <si>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</si>
  <si>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</si>
  <si>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</si>
  <si>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</si>
  <si>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</si>
  <si>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</si>
  <si>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</si>
  <si>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</si>
  <si>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</si>
  <si>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</si>
  <si>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</si>
  <si>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</si>
  <si>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</si>
  <si>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</si>
  <si>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</si>
  <si>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</si>
  <si>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</si>
  <si>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</si>
  <si>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</si>
  <si>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</si>
  <si>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</si>
  <si>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</si>
  <si>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</si>
  <si>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</si>
  <si>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</si>
  <si>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</si>
  <si>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</si>
  <si>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</si>
  <si>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</si>
  <si>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</si>
  <si>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</si>
  <si>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</si>
  <si>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</si>
  <si>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</si>
  <si>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</si>
  <si>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</si>
  <si>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</si>
  <si>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</si>
  <si>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</si>
  <si>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</si>
  <si>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</si>
  <si>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</si>
  <si>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</si>
  <si>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</si>
  <si>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</si>
  <si>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</si>
  <si>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</si>
  <si>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</si>
  <si>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</si>
  <si>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</si>
  <si>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</si>
  <si>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</si>
  <si>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</si>
  <si>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</si>
  <si>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</si>
  <si>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</si>
  <si>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</si>
  <si>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</si>
  <si>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</si>
  <si>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</si>
  <si>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</si>
  <si>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</si>
  <si>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</si>
  <si>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</si>
  <si>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</si>
  <si>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</si>
  <si>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</si>
  <si>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</si>
  <si>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</si>
  <si>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</si>
  <si>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</si>
  <si>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</si>
  <si>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</si>
  <si>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</si>
  <si>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</si>
  <si>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</si>
  <si>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</si>
  <si>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</si>
  <si>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</si>
  <si>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</si>
  <si>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</si>
  <si>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</si>
  <si>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</si>
  <si>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</si>
  <si>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</si>
  <si>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</si>
  <si>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</si>
  <si>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</si>
  <si>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</si>
  <si>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</si>
  <si>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</si>
  <si>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</si>
  <si>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</si>
  <si>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</si>
  <si>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</si>
  <si>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</si>
  <si>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</si>
  <si>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</si>
  <si>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</si>
  <si>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</si>
  <si>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</si>
  <si>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</si>
  <si>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</si>
  <si>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</si>
  <si>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</si>
  <si>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</si>
  <si>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</si>
  <si>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</si>
  <si>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</si>
  <si>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</si>
  <si>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</si>
  <si>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</si>
  <si>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</si>
  <si>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</si>
  <si>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</si>
  <si>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</si>
  <si>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</si>
  <si>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</si>
  <si>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</si>
  <si>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</si>
  <si>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</si>
  <si>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</si>
  <si>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</si>
  <si>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</si>
  <si>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</si>
  <si>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</si>
  <si>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</si>
  <si>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</si>
  <si>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</si>
  <si>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</si>
  <si>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</si>
  <si>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</si>
  <si>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</si>
  <si>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</si>
  <si>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</si>
  <si>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</si>
  <si>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</si>
  <si>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</si>
  <si>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</si>
  <si>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</si>
  <si>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</si>
  <si>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</si>
  <si>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</si>
  <si>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</si>
  <si>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</si>
  <si>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</si>
  <si>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</si>
  <si>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</si>
  <si>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</si>
  <si>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</si>
  <si>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</si>
  <si>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</si>
  <si>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</si>
  <si>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</si>
  <si>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</si>
  <si>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</si>
  <si>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</si>
  <si>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</si>
  <si>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</si>
  <si>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</si>
  <si>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</si>
  <si>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</si>
  <si>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</si>
  <si>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</si>
  <si>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</si>
  <si>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</si>
  <si>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</si>
  <si>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</si>
  <si>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</si>
  <si>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</si>
  <si>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</si>
  <si>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</si>
  <si>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</si>
  <si>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</si>
  <si>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</si>
  <si>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</si>
  <si>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</si>
  <si>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</si>
  <si>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</si>
  <si>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</si>
  <si>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</si>
  <si>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</si>
  <si>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</si>
  <si>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</si>
  <si>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</si>
  <si>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</si>
  <si>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</si>
  <si>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</si>
  <si>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</si>
  <si>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</si>
  <si>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</si>
  <si>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</si>
  <si>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</si>
  <si>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</si>
  <si>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</si>
  <si>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</si>
  <si>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</si>
  <si>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</si>
  <si>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</si>
  <si>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</si>
  <si>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</si>
  <si>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</si>
  <si>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</si>
  <si>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</si>
  <si>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</si>
  <si>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</si>
  <si>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</si>
  <si>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</si>
  <si>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</si>
  <si>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</si>
  <si>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</si>
  <si>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</si>
  <si>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</si>
  <si>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</si>
  <si>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</si>
  <si>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</si>
  <si>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</si>
  <si>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</si>
  <si>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</si>
  <si>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</si>
  <si>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</si>
  <si>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</si>
  <si>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</si>
  <si>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</si>
  <si>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</si>
  <si>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</si>
  <si>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</si>
  <si>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</si>
  <si>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</si>
  <si>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</si>
  <si>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</si>
  <si>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</si>
  <si>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</si>
  <si>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</si>
  <si>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</si>
  <si>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</si>
  <si>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</si>
  <si>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</si>
  <si>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</si>
  <si>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</si>
  <si>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</si>
  <si>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</si>
  <si>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</si>
  <si>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</si>
  <si>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</si>
  <si>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</si>
  <si>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</si>
  <si>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</si>
  <si>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</si>
  <si>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</si>
  <si>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</si>
  <si>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</si>
  <si>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</si>
  <si>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</si>
  <si>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</si>
  <si>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</si>
  <si>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</si>
  <si>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</si>
  <si>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</si>
  <si>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</si>
  <si>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</si>
  <si>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</si>
  <si>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</si>
  <si>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</si>
  <si>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</si>
  <si>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</si>
  <si>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</si>
  <si>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</si>
  <si>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</si>
  <si>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</si>
  <si>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</si>
  <si>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</si>
  <si>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</si>
  <si>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</si>
  <si>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</si>
  <si>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</si>
  <si>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</si>
  <si>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</si>
  <si>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</si>
  <si>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</si>
  <si>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</si>
  <si>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</si>
  <si>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</si>
  <si>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</si>
  <si>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</si>
  <si>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</si>
  <si>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</si>
  <si>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</si>
  <si>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</si>
  <si>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</si>
  <si>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</si>
  <si>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</si>
  <si>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</si>
  <si>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</si>
  <si>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</si>
  <si>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</si>
  <si>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</si>
  <si>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</si>
  <si>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</si>
  <si>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</si>
  <si>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</si>
  <si>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</si>
  <si>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</si>
  <si>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</si>
  <si>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</si>
  <si>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</si>
  <si>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</si>
  <si>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</si>
  <si>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</si>
  <si>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</si>
  <si>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</si>
  <si>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</si>
  <si>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</si>
  <si>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</si>
  <si>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</si>
  <si>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</si>
  <si>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</si>
  <si>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</si>
  <si>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</si>
  <si>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</si>
  <si>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</si>
  <si>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</si>
  <si>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</si>
  <si>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</si>
  <si>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</si>
  <si>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</si>
  <si>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</si>
  <si>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</si>
  <si>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</si>
  <si>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</si>
  <si>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</si>
  <si>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</si>
  <si>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</si>
  <si>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</si>
  <si>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</si>
  <si>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</si>
  <si>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</si>
  <si>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</si>
  <si>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</si>
  <si>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</si>
  <si>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</si>
  <si>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</si>
  <si>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</si>
  <si>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</si>
  <si>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</si>
  <si>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</si>
  <si>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</si>
  <si>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</si>
  <si>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</si>
  <si>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</si>
  <si>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</si>
  <si>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</si>
  <si>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</si>
  <si>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</si>
  <si>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</si>
  <si>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</si>
  <si>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</si>
  <si>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</si>
  <si>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</si>
  <si>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</si>
  <si>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</si>
  <si>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</si>
  <si>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</si>
  <si>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</si>
  <si>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</si>
  <si>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</si>
  <si>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</si>
  <si>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</si>
  <si>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</si>
  <si>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</si>
  <si>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</si>
  <si>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</si>
  <si>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</si>
  <si>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</si>
  <si>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</si>
  <si>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</si>
  <si>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</si>
  <si>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</si>
  <si>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</si>
  <si>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</si>
  <si>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</si>
  <si>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</si>
  <si>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</si>
  <si>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</si>
  <si>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</si>
  <si>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</si>
  <si>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</si>
  <si>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</si>
  <si>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</si>
  <si>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</si>
  <si>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</si>
  <si>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</si>
  <si>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</si>
  <si>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</si>
  <si>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</si>
  <si>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</si>
  <si>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</si>
  <si>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</si>
  <si>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</si>
  <si>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</si>
  <si>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</si>
  <si>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</si>
  <si>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</si>
  <si>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</si>
  <si>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</si>
  <si>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</si>
  <si>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</si>
  <si>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</si>
  <si>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</si>
  <si>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</si>
  <si>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</si>
  <si>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</si>
  <si>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</si>
  <si>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</si>
  <si>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</si>
  <si>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</si>
  <si>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</si>
  <si>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</si>
  <si>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</si>
  <si>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</si>
  <si>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</si>
  <si>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</si>
  <si>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Numero esercizi Trend storico per calcolo media (2 / 3)</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</si>
  <si>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</si>
  <si>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</si>
  <si>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</si>
  <si>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</si>
  <si>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</si>
  <si>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</si>
  <si>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</si>
  <si>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</si>
  <si>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</si>
  <si>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</si>
  <si>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</si>
  <si>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</si>
  <si>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</si>
  <si>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</si>
  <si>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</si>
  <si>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</si>
  <si>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</si>
  <si>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</si>
  <si>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</si>
  <si>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</si>
  <si>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</si>
  <si>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</si>
  <si>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</si>
  <si>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</si>
  <si>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</si>
  <si>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</si>
  <si>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</si>
  <si>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</si>
  <si>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</si>
  <si>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</si>
  <si>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</si>
  <si>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</si>
  <si>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</si>
  <si>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</si>
  <si>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</si>
  <si>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</si>
  <si>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</si>
  <si>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</si>
  <si>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</si>
  <si>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</si>
  <si>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</si>
  <si>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</si>
  <si>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</si>
  <si>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</si>
  <si>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</si>
  <si>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</si>
  <si>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</si>
  <si>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</si>
  <si>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</si>
  <si>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</si>
  <si>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</si>
  <si>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</si>
  <si>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</si>
  <si>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</si>
  <si>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</si>
  <si>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</si>
  <si>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</si>
  <si>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</si>
  <si>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</si>
  <si>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</si>
  <si>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</si>
  <si>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</si>
  <si>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</si>
  <si>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</si>
  <si>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</si>
  <si>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</si>
  <si>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</si>
  <si>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</si>
  <si>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</si>
  <si>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</si>
  <si>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</si>
  <si>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</si>
  <si>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</si>
  <si>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</si>
  <si>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</si>
  <si>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</si>
  <si>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</si>
  <si>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</si>
  <si>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</si>
  <si>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</si>
  <si>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</si>
  <si>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</si>
  <si>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</si>
  <si>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</si>
  <si>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</si>
  <si>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</si>
  <si>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</si>
  <si>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</si>
  <si>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</si>
  <si>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</si>
  <si>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</si>
  <si>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</si>
  <si>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</si>
  <si>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</si>
  <si>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</si>
  <si>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</si>
  <si>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</si>
  <si>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</si>
  <si>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</si>
  <si>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</si>
  <si>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</si>
  <si>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</si>
  <si>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</si>
  <si>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</si>
  <si>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</si>
  <si>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</si>
  <si>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</si>
  <si>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</si>
  <si>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</si>
  <si>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</si>
  <si>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</si>
  <si>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</si>
  <si>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</si>
  <si>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</si>
  <si>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</si>
  <si>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</si>
  <si>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</si>
  <si>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</si>
  <si>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</si>
  <si>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</si>
  <si>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</si>
  <si>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</si>
  <si>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</si>
  <si>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</si>
  <si>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</si>
  <si>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</si>
  <si>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</si>
  <si>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</si>
  <si>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</si>
  <si>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</si>
  <si>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</si>
  <si>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</si>
  <si>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</si>
  <si>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</si>
  <si>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</si>
  <si>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</si>
  <si>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</si>
  <si>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</si>
  <si>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</si>
  <si>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</si>
  <si>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</si>
  <si>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</si>
  <si>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</si>
  <si>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</si>
  <si>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</si>
  <si>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</si>
  <si>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</si>
  <si>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</si>
  <si>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</si>
  <si>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</si>
  <si>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</si>
  <si>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</si>
  <si>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</si>
  <si>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</si>
  <si>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</si>
  <si>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</si>
  <si>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</si>
  <si>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</si>
  <si>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</si>
  <si>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</si>
  <si>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</si>
  <si>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</si>
  <si>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</si>
  <si>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</si>
  <si>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</si>
  <si>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</si>
  <si>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</si>
  <si>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</si>
  <si>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</si>
  <si>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</si>
  <si>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</si>
  <si>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</si>
  <si>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</si>
  <si>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</si>
  <si>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</si>
  <si>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</si>
  <si>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</si>
  <si>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</si>
  <si>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</si>
  <si>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</si>
  <si>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</si>
  <si>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</si>
  <si>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</si>
  <si>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</si>
  <si>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</si>
  <si>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</si>
  <si>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</si>
  <si>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Dati esercizio -1: dati di pre-consuntivo (1) oppure previsioni definitive anno in corso (2)</t>
  </si>
  <si>
    <t>Eser-1
(anno 2016)
dati preconsuntivo o previsione def.</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</si>
  <si>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</si>
  <si>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</si>
  <si>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</si>
  <si>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</si>
  <si>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</si>
  <si>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</si>
  <si>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</si>
  <si>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</si>
  <si>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</si>
  <si>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</si>
  <si>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</si>
  <si>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</si>
  <si>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</si>
  <si>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</si>
  <si>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</si>
  <si>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</si>
  <si>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</si>
  <si>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</si>
  <si>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</si>
  <si>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</si>
  <si>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Eser-1
(anno 2016)
Incassi CO+RE o previsione def. Di CASSA</t>
  </si>
  <si>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</si>
  <si>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</si>
  <si>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</si>
  <si>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</si>
  <si>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</si>
  <si>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</si>
  <si>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</si>
  <si>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</si>
  <si>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</si>
  <si>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</si>
  <si>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</si>
  <si>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def. 
Eser-1
</t>
  </si>
  <si>
    <t>Eser-1
dati preconsuntivo (Accert. CP+RS) o previsione def. (CP+RS)</t>
  </si>
  <si>
    <t xml:space="preserve">Previsioni di Cassa
Eser-3
</t>
  </si>
  <si>
    <t xml:space="preserve">Previsioni di Cassa
Eser-2
</t>
  </si>
  <si>
    <t xml:space="preserve">Previsioni di Cassa
Eser-1
</t>
  </si>
  <si>
    <t>Eser-1
Incassi CP+RS o Previsione def. Di Cassa</t>
  </si>
  <si>
    <t xml:space="preserve">Accert. RS
Eser -3
</t>
  </si>
  <si>
    <t xml:space="preserve">Accert. RS
Eser -2
</t>
  </si>
  <si>
    <t xml:space="preserve">Accert. RS
Eser -1
</t>
  </si>
  <si>
    <t xml:space="preserve">Residui Iniziali 
Eser -1
</t>
  </si>
  <si>
    <t>Eser-1  dati preconsuntivo Accert. CP o Prev.Def. CP</t>
  </si>
  <si>
    <t xml:space="preserve">Impegni
Eser -3
</t>
  </si>
  <si>
    <t xml:space="preserve">FPV costituito
Eser-3
</t>
  </si>
  <si>
    <t xml:space="preserve">Impegni
Eser -2
</t>
  </si>
  <si>
    <t xml:space="preserve">FPV costituito
Eser-2
</t>
  </si>
  <si>
    <t xml:space="preserve">Impegni
Eser -1
</t>
  </si>
  <si>
    <t xml:space="preserve">FPV costituito
Eser-1
 oppure FPV stanziamenti def </t>
  </si>
  <si>
    <t xml:space="preserve">Mandati CO+RE
Eser-3
</t>
  </si>
  <si>
    <t xml:space="preserve">Mandati
CO+RE
Eser-2
</t>
  </si>
  <si>
    <t xml:space="preserve">Mandati
CO+RE
Eser-1
</t>
  </si>
  <si>
    <t>Residui Definitivi 
Eser-3
 (Impegni a Residuo)</t>
  </si>
  <si>
    <t>Residui Definitivi 
Eser-2
 (Impegni a Residuo)</t>
  </si>
  <si>
    <t>Residui Definitivi 
Eser-1
 (Impegni a Residuo) o Stanz. Residuo Iniziale</t>
  </si>
  <si>
    <t xml:space="preserve">Previsioni definitive 
Eser-1
</t>
  </si>
  <si>
    <t>Eser-1
dati preconsuntivo(impegni) o previsione def.(escluso FPV)</t>
  </si>
  <si>
    <t>Eser-1
Pagamenti o Previsione def. Di Cassa</t>
  </si>
  <si>
    <t>Previsioni Definitive Eser-1  solo FPV</t>
  </si>
  <si>
    <t xml:space="preserve">FPV costituito
Eser-1
</t>
  </si>
  <si>
    <t>Residui Definitivi 
Eser-1
 Impegni a Residuo</t>
  </si>
  <si>
    <t xml:space="preserve">Residui Iniziali
Eser-1
</t>
  </si>
  <si>
    <t>COMUNE DI ALZANO LOMBARDO</t>
  </si>
  <si>
    <t>PROVINCIA DI BERGAMO</t>
  </si>
  <si>
    <t>2019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</si>
</sst>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2">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29" borderId="0" applyNumberFormat="0" applyBorder="0" applyAlignment="0" applyProtection="0"/>
    <xf numFmtId="0" fontId="1" fillId="30" borderId="4" applyNumberFormat="0" applyFont="0" applyAlignment="0" applyProtection="0"/>
    <xf numFmtId="0" fontId="52" fillId="20" borderId="5"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190">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7"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8"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0" fontId="12" fillId="0" borderId="0" xfId="0" applyFont="1" applyFill="1" applyAlignment="1">
      <alignment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5" xfId="0" applyFont="1" applyFill="1" applyBorder="1" applyAlignment="1">
      <alignment vertical="center"/>
    </xf>
    <xf numFmtId="0" fontId="19" fillId="0" borderId="17" xfId="0" applyFont="1" applyFill="1" applyBorder="1" applyAlignment="1">
      <alignment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2" fontId="2" fillId="0" borderId="0" xfId="0" applyNumberFormat="1" applyFont="1" applyFill="1" applyAlignment="1">
      <alignment/>
    </xf>
    <xf numFmtId="0" fontId="19" fillId="0" borderId="11" xfId="0" applyFont="1" applyFill="1" applyBorder="1" applyAlignment="1">
      <alignment horizontal="right" vertical="center"/>
    </xf>
    <xf numFmtId="0" fontId="19"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19" fillId="0" borderId="11" xfId="0" applyFont="1" applyFill="1" applyBorder="1" applyAlignment="1">
      <alignment horizontal="left" vertical="top"/>
    </xf>
    <xf numFmtId="0" fontId="19"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4" fontId="2" fillId="0" borderId="0" xfId="0" applyNumberFormat="1" applyFont="1" applyFill="1" applyAlignment="1">
      <alignment/>
    </xf>
    <xf numFmtId="0" fontId="19"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4" fontId="23" fillId="0" borderId="16"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left"/>
      <protection/>
    </xf>
    <xf numFmtId="4" fontId="24" fillId="0" borderId="0" xfId="0" applyNumberFormat="1" applyFont="1" applyFill="1" applyBorder="1" applyAlignment="1" applyProtection="1">
      <alignment horizontal="right"/>
      <protection/>
    </xf>
    <xf numFmtId="4" fontId="23" fillId="0" borderId="11" xfId="0" applyNumberFormat="1" applyFont="1" applyFill="1" applyBorder="1" applyAlignment="1" applyProtection="1">
      <alignment horizontal="right"/>
      <protection/>
    </xf>
    <xf numFmtId="4" fontId="25"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left" vertical="center"/>
      <protection/>
    </xf>
    <xf numFmtId="14" fontId="24" fillId="0" borderId="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protection/>
    </xf>
    <xf numFmtId="0" fontId="20"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1"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2"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7"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41"/>
  <sheetViews>
    <sheetView tabSelected="1" zoomScale="85" zoomScaleNormal="85" zoomScalePageLayoutView="0" workbookViewId="0" topLeftCell="A1">
      <selection activeCell="D10" sqref="D10"/>
    </sheetView>
  </sheetViews>
  <sheetFormatPr defaultColWidth="9.00390625" defaultRowHeight="15"/>
  <cols>
    <col min="1" max="1" width="9.00390625" style="2" customWidth="1"/>
    <col min="2" max="2" width="20.140625" style="2" customWidth="1"/>
    <col min="3" max="3" width="71.7109375" style="3" customWidth="1"/>
    <col min="4" max="4" width="12.28125" style="10" customWidth="1"/>
    <col min="5" max="15" width="11.421875" style="10" customWidth="1"/>
    <col min="16" max="16" width="13.7109375" style="10" customWidth="1"/>
    <col min="17" max="17" width="12.421875" style="10" customWidth="1"/>
    <col min="18" max="18" width="11.421875" style="1" customWidth="1"/>
    <col min="19" max="19" width="13.57421875" style="1" customWidth="1"/>
    <col min="20" max="20" width="19.8515625" style="1" bestFit="1" customWidth="1"/>
    <col min="21" max="21" width="17.7109375" style="1" bestFit="1" customWidth="1"/>
    <col min="22" max="22" width="15.7109375" style="1" customWidth="1"/>
    <col min="23" max="23" width="14.28125" style="1" bestFit="1" customWidth="1"/>
    <col min="24" max="24" width="15.00390625" style="1" customWidth="1"/>
    <col min="25" max="25" width="17.57421875" style="1" customWidth="1"/>
    <col min="26" max="26" width="22.28125" style="1" bestFit="1" customWidth="1"/>
    <col min="27" max="27" width="22.7109375" style="1" customWidth="1"/>
    <col min="28" max="28" width="13.8515625" style="1" customWidth="1"/>
    <col min="29" max="29" width="14.7109375" style="1" customWidth="1"/>
    <col min="30" max="30" width="13.00390625" style="1" customWidth="1"/>
    <col min="31" max="31" width="14.140625" style="1" customWidth="1"/>
    <col min="32" max="32" width="14.57421875" style="1" customWidth="1"/>
    <col min="33" max="33" width="28.28125" style="1" bestFit="1" customWidth="1"/>
    <col min="34" max="34" width="26.28125" style="1" customWidth="1"/>
    <col min="35" max="35" width="27.28125" style="1" customWidth="1"/>
    <col min="36" max="36" width="27.140625" style="1" customWidth="1"/>
    <col min="37" max="37" width="21.57421875" style="1" bestFit="1" customWidth="1"/>
    <col min="38" max="16384" width="9.00390625" style="1" customWidth="1"/>
  </cols>
  <sheetData>
    <row r="1" spans="1:17" ht="14.25" customHeight="1">
      <c r="A1" s="132" t="s">
        <v>0</v>
      </c>
      <c r="B1" s="132"/>
      <c r="C1" s="132"/>
      <c r="D1" s="132"/>
      <c r="E1" s="132"/>
      <c r="F1" s="132"/>
      <c r="G1" s="132"/>
      <c r="H1" s="132"/>
      <c r="I1" s="132"/>
      <c r="J1" s="132"/>
      <c r="K1" s="132"/>
      <c r="L1" s="132"/>
      <c r="M1" s="132"/>
      <c r="N1" s="132"/>
      <c r="O1" s="132"/>
      <c r="P1" s="132"/>
      <c r="Q1" s="132"/>
    </row>
    <row r="2" spans="1:17" ht="14.25" customHeight="1">
      <c r="A2" s="132"/>
      <c r="B2" s="132"/>
      <c r="C2" s="132"/>
      <c r="D2" s="132"/>
      <c r="E2" s="132"/>
      <c r="F2" s="132"/>
      <c r="G2" s="132"/>
      <c r="H2" s="132"/>
      <c r="I2" s="132"/>
      <c r="J2" s="132"/>
      <c r="K2" s="132"/>
      <c r="L2" s="132"/>
      <c r="M2" s="132"/>
      <c r="N2" s="132"/>
      <c r="O2" s="132"/>
      <c r="P2" s="132"/>
      <c r="Q2" s="132"/>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4" ht="56.25" customHeight="1">
      <c r="A4" s="2" t="s">
        <v>3</v>
      </c>
      <c r="B4" s="2" t="s">
        <v>4</v>
      </c>
      <c r="C4" s="6" t="s">
        <v>5</v>
      </c>
      <c r="D4" s="7" t="s">
        <v>6</v>
      </c>
      <c r="E4" s="7" t="s">
        <v>7</v>
      </c>
      <c r="F4" s="7" t="s">
        <v>8</v>
      </c>
      <c r="G4" s="7" t="s">
        <v>9</v>
      </c>
      <c r="H4" s="7" t="s">
        <v>10</v>
      </c>
      <c r="I4" s="7" t="s">
        <v>11</v>
      </c>
      <c r="J4" s="7" t="s">
        <v>803</v>
      </c>
      <c r="K4" s="7" t="s">
        <v>804</v>
      </c>
      <c r="L4" s="7" t="s">
        <v>805</v>
      </c>
      <c r="M4" s="7" t="s">
        <v>12</v>
      </c>
      <c r="N4" s="7" t="s">
        <v>13</v>
      </c>
      <c r="O4" s="7" t="s">
        <v>14</v>
      </c>
      <c r="P4" s="7" t="s">
        <v>15</v>
      </c>
      <c r="Q4" s="7" t="s">
        <v>16</v>
      </c>
      <c r="R4" s="7" t="s">
        <v>17</v>
      </c>
      <c r="S4" s="7" t="s">
        <v>798</v>
      </c>
      <c r="T4" s="7" t="s">
        <v>812</v>
      </c>
      <c r="U4" s="7" t="s">
        <v>813</v>
      </c>
      <c r="V4" s="7" t="s">
        <v>814</v>
      </c>
      <c r="W4" s="7" t="s">
        <v>797</v>
      </c>
      <c r="X4" s="7" t="s">
        <v>818</v>
      </c>
    </row>
    <row r="5" spans="2:37" ht="14.25" customHeight="1">
      <c r="B5" s="2">
        <v>0</v>
      </c>
      <c r="C5" s="8" t="s">
        <v>18</v>
      </c>
      <c r="D5" s="41">
        <f>D9-D7-D8-D6</f>
        <v>278230.3600000013</v>
      </c>
      <c r="E5" s="42"/>
      <c r="F5" s="42"/>
      <c r="G5" s="42"/>
      <c r="H5" s="42"/>
      <c r="I5" s="42"/>
      <c r="J5" s="42"/>
      <c r="K5" s="42"/>
      <c r="L5" s="42"/>
      <c r="M5" s="42"/>
      <c r="N5" s="42"/>
      <c r="O5" s="42"/>
      <c r="P5" s="42"/>
      <c r="Q5" s="42"/>
      <c r="R5" s="42"/>
      <c r="S5" s="42"/>
      <c r="T5" s="42"/>
      <c r="U5" s="42"/>
      <c r="V5" s="42"/>
      <c r="W5" s="42"/>
      <c r="X5" s="42"/>
      <c r="Y5" s="43"/>
      <c r="Z5" s="43"/>
      <c r="AA5" s="43"/>
      <c r="AB5" s="43"/>
      <c r="AC5" s="43"/>
      <c r="AD5" s="43"/>
      <c r="AE5" s="43"/>
      <c r="AF5" s="43"/>
      <c r="AG5" s="43"/>
      <c r="AH5" s="43"/>
      <c r="AI5" s="43"/>
      <c r="AJ5" s="43"/>
      <c r="AK5" s="43"/>
    </row>
    <row r="6" spans="2:37" ht="14.25" customHeight="1">
      <c r="B6" s="2">
        <v>0</v>
      </c>
      <c r="C6" s="8" t="s">
        <v>19</v>
      </c>
      <c r="D6" s="124">
        <v>225000</v>
      </c>
      <c r="E6" s="42"/>
      <c r="F6" s="42"/>
      <c r="G6" s="42"/>
      <c r="H6" s="42"/>
      <c r="I6" s="42"/>
      <c r="J6" s="42"/>
      <c r="K6" s="42"/>
      <c r="L6" s="42"/>
      <c r="M6" s="42"/>
      <c r="N6" s="42"/>
      <c r="O6" s="42"/>
      <c r="P6" s="42"/>
      <c r="Q6" s="42"/>
      <c r="R6" s="42"/>
      <c r="S6" s="42"/>
      <c r="T6" s="42"/>
      <c r="U6" s="42"/>
      <c r="V6" s="42"/>
      <c r="W6" s="42"/>
      <c r="X6" s="42"/>
      <c r="Y6" s="43"/>
      <c r="Z6" s="43"/>
      <c r="AA6" s="43"/>
      <c r="AB6" s="43"/>
      <c r="AC6" s="43"/>
      <c r="AD6" s="43"/>
      <c r="AE6" s="43"/>
      <c r="AF6" s="43"/>
      <c r="AG6" s="43"/>
      <c r="AH6" s="43"/>
      <c r="AI6" s="43"/>
      <c r="AJ6" s="43"/>
      <c r="AK6" s="43"/>
    </row>
    <row r="7" spans="2:37" ht="14.25" customHeight="1">
      <c r="B7" s="2">
        <v>0</v>
      </c>
      <c r="C7" s="8" t="s">
        <v>20</v>
      </c>
      <c r="D7" s="124">
        <v>1632708.51</v>
      </c>
      <c r="E7" s="42"/>
      <c r="F7" s="42"/>
      <c r="G7" s="42"/>
      <c r="H7" s="42"/>
      <c r="I7" s="42"/>
      <c r="J7" s="42"/>
      <c r="K7" s="42"/>
      <c r="L7" s="42"/>
      <c r="M7" s="42"/>
      <c r="N7" s="42"/>
      <c r="O7" s="42"/>
      <c r="P7" s="42"/>
      <c r="Q7" s="42"/>
      <c r="R7" s="42"/>
      <c r="S7" s="42"/>
      <c r="T7" s="42"/>
      <c r="U7" s="42"/>
      <c r="V7" s="42"/>
      <c r="W7" s="42"/>
      <c r="X7" s="42"/>
      <c r="Y7" s="43"/>
      <c r="Z7" s="43"/>
      <c r="AA7" s="43"/>
      <c r="AB7" s="43"/>
      <c r="AC7" s="43"/>
      <c r="AD7" s="43"/>
      <c r="AE7" s="43"/>
      <c r="AF7" s="43"/>
      <c r="AG7" s="43"/>
      <c r="AH7" s="43"/>
      <c r="AI7" s="43"/>
      <c r="AJ7" s="43"/>
      <c r="AK7" s="43"/>
    </row>
    <row r="8" spans="2:37" ht="14.25" customHeight="1">
      <c r="B8" s="9">
        <v>0</v>
      </c>
      <c r="C8" s="8" t="s">
        <v>21</v>
      </c>
      <c r="D8" s="124">
        <v>416527.59</v>
      </c>
      <c r="E8" s="42"/>
      <c r="F8" s="42"/>
      <c r="G8" s="42"/>
      <c r="H8" s="42"/>
      <c r="I8" s="42"/>
      <c r="J8" s="42"/>
      <c r="K8" s="42"/>
      <c r="L8" s="42"/>
      <c r="M8" s="42"/>
      <c r="N8" s="42"/>
      <c r="O8" s="42"/>
      <c r="P8" s="42"/>
      <c r="Q8" s="42"/>
      <c r="R8" s="42"/>
      <c r="S8" s="42"/>
      <c r="T8" s="42"/>
      <c r="U8" s="42"/>
      <c r="V8" s="42"/>
      <c r="W8" s="42"/>
      <c r="X8" s="42"/>
      <c r="Y8" s="43"/>
      <c r="Z8" s="43"/>
      <c r="AA8" s="43"/>
      <c r="AB8" s="43"/>
      <c r="AC8" s="43"/>
      <c r="AD8" s="43"/>
      <c r="AE8" s="43"/>
      <c r="AF8" s="43"/>
      <c r="AG8" s="43"/>
      <c r="AH8" s="43"/>
      <c r="AI8" s="43"/>
      <c r="AJ8" s="43"/>
      <c r="AK8" s="43"/>
    </row>
    <row r="9" spans="2:37" ht="14.25" customHeight="1">
      <c r="B9" s="9">
        <v>0</v>
      </c>
      <c r="C9" s="8" t="s">
        <v>22</v>
      </c>
      <c r="D9" s="41">
        <f>AD9+AB9-AJ9+AA9-AI9+Y9-AG9-AE9-Z9+Z10+Z11-AC9+AC10+AC11</f>
        <v>2552466.4600000014</v>
      </c>
      <c r="E9" s="42"/>
      <c r="F9" s="42"/>
      <c r="G9" s="42"/>
      <c r="H9" s="42"/>
      <c r="I9" s="42"/>
      <c r="J9" s="42"/>
      <c r="K9" s="42"/>
      <c r="L9" s="42"/>
      <c r="M9" s="42"/>
      <c r="N9" s="42"/>
      <c r="O9" s="42"/>
      <c r="P9" s="42"/>
      <c r="Q9" s="42"/>
      <c r="R9" s="42"/>
      <c r="S9" s="42"/>
      <c r="T9" s="42"/>
      <c r="U9" s="42"/>
      <c r="V9" s="42"/>
      <c r="W9" s="42"/>
      <c r="X9" s="42"/>
      <c r="Y9" s="125">
        <v>0</v>
      </c>
      <c r="Z9" s="126">
        <v>7526.42</v>
      </c>
      <c r="AA9" s="126">
        <v>12485409.22</v>
      </c>
      <c r="AB9" s="126">
        <v>3865859.2</v>
      </c>
      <c r="AC9" s="126">
        <v>0</v>
      </c>
      <c r="AD9" s="126">
        <v>1533087.08</v>
      </c>
      <c r="AE9" s="126">
        <v>220758.85</v>
      </c>
      <c r="AF9" s="126">
        <v>471812.81</v>
      </c>
      <c r="AG9" s="126">
        <v>0</v>
      </c>
      <c r="AH9" s="43"/>
      <c r="AI9" s="126">
        <v>13582018.49</v>
      </c>
      <c r="AJ9" s="126">
        <v>1540184.06</v>
      </c>
      <c r="AK9" s="43"/>
    </row>
    <row r="10" spans="2:37" ht="14.25" customHeight="1">
      <c r="B10" s="9">
        <v>0</v>
      </c>
      <c r="C10" s="8" t="s">
        <v>23</v>
      </c>
      <c r="D10" s="124">
        <v>81339.84</v>
      </c>
      <c r="E10" s="124">
        <v>0</v>
      </c>
      <c r="F10" s="124">
        <v>0</v>
      </c>
      <c r="G10" s="42"/>
      <c r="H10" s="42"/>
      <c r="I10" s="42"/>
      <c r="J10" s="42"/>
      <c r="K10" s="42"/>
      <c r="L10" s="42"/>
      <c r="M10" s="42"/>
      <c r="N10" s="42"/>
      <c r="O10" s="42"/>
      <c r="P10" s="42"/>
      <c r="Q10" s="42"/>
      <c r="R10" s="42"/>
      <c r="S10" s="42"/>
      <c r="T10" s="42"/>
      <c r="U10" s="42"/>
      <c r="V10" s="42"/>
      <c r="W10" s="42"/>
      <c r="X10" s="42"/>
      <c r="Y10" s="43"/>
      <c r="Z10" s="126">
        <v>14267.43</v>
      </c>
      <c r="AA10" s="43"/>
      <c r="AB10" s="43"/>
      <c r="AC10" s="126">
        <v>0</v>
      </c>
      <c r="AD10" s="43"/>
      <c r="AE10" s="43"/>
      <c r="AF10" s="43"/>
      <c r="AG10" s="43"/>
      <c r="AH10" s="43"/>
      <c r="AI10" s="43"/>
      <c r="AJ10" s="43"/>
      <c r="AK10" s="43"/>
    </row>
    <row r="11" spans="2:37" ht="24" customHeight="1">
      <c r="B11" s="9">
        <v>0</v>
      </c>
      <c r="C11" s="8" t="s">
        <v>24</v>
      </c>
      <c r="D11" s="124">
        <v>39881.94</v>
      </c>
      <c r="E11" s="124">
        <v>0</v>
      </c>
      <c r="F11" s="124">
        <v>0</v>
      </c>
      <c r="G11" s="42"/>
      <c r="H11" s="42"/>
      <c r="I11" s="42"/>
      <c r="J11" s="42"/>
      <c r="K11" s="42"/>
      <c r="L11" s="42"/>
      <c r="M11" s="42"/>
      <c r="N11" s="42"/>
      <c r="O11" s="42"/>
      <c r="P11" s="42"/>
      <c r="Q11" s="42"/>
      <c r="R11" s="42"/>
      <c r="S11" s="42"/>
      <c r="T11" s="42"/>
      <c r="U11" s="42"/>
      <c r="V11" s="42"/>
      <c r="W11" s="42"/>
      <c r="X11" s="42"/>
      <c r="Y11" s="43"/>
      <c r="Z11" s="126">
        <v>4331.35</v>
      </c>
      <c r="AA11" s="43"/>
      <c r="AB11" s="43"/>
      <c r="AC11" s="126">
        <v>0</v>
      </c>
      <c r="AD11" s="43"/>
      <c r="AE11" s="43"/>
      <c r="AF11" s="43"/>
      <c r="AG11" s="43"/>
      <c r="AH11" s="43"/>
      <c r="AI11" s="43"/>
      <c r="AJ11" s="43"/>
      <c r="AK11" s="43"/>
    </row>
    <row r="12" spans="2:37" ht="14.25" customHeight="1">
      <c r="B12" s="9">
        <v>0</v>
      </c>
      <c r="C12" s="8" t="s">
        <v>25</v>
      </c>
      <c r="D12" s="124">
        <v>139419.01</v>
      </c>
      <c r="E12" s="124">
        <v>0</v>
      </c>
      <c r="F12" s="124">
        <v>0</v>
      </c>
      <c r="G12" s="42"/>
      <c r="H12" s="42"/>
      <c r="I12" s="42"/>
      <c r="J12" s="42"/>
      <c r="K12" s="42"/>
      <c r="L12" s="42"/>
      <c r="M12" s="42"/>
      <c r="N12" s="42"/>
      <c r="O12" s="42"/>
      <c r="P12" s="42"/>
      <c r="Q12" s="42"/>
      <c r="R12" s="42"/>
      <c r="S12" s="42"/>
      <c r="T12" s="42"/>
      <c r="U12" s="42"/>
      <c r="V12" s="42"/>
      <c r="W12" s="42"/>
      <c r="X12" s="42"/>
      <c r="Y12" s="87"/>
      <c r="Z12" s="87"/>
      <c r="AA12" s="87"/>
      <c r="AB12" s="87"/>
      <c r="AC12" s="87"/>
      <c r="AD12" s="87"/>
      <c r="AE12" s="87"/>
      <c r="AF12" s="87"/>
      <c r="AG12" s="87"/>
      <c r="AH12" s="87"/>
      <c r="AI12" s="87"/>
      <c r="AJ12" s="87"/>
      <c r="AK12" s="87"/>
    </row>
    <row r="13" spans="2:37" ht="24" customHeight="1">
      <c r="B13" s="9">
        <v>0</v>
      </c>
      <c r="C13" s="8" t="s">
        <v>26</v>
      </c>
      <c r="D13" s="41">
        <f>D10+D12-Y13</f>
        <v>0</v>
      </c>
      <c r="E13" s="41">
        <f>E10+E12-Z13</f>
        <v>0</v>
      </c>
      <c r="F13" s="41">
        <f>F10+F12-AA13</f>
        <v>0</v>
      </c>
      <c r="G13" s="42"/>
      <c r="H13" s="42"/>
      <c r="I13" s="42"/>
      <c r="J13" s="42"/>
      <c r="K13" s="42"/>
      <c r="L13" s="42"/>
      <c r="M13" s="42"/>
      <c r="N13" s="42"/>
      <c r="O13" s="42"/>
      <c r="P13" s="42"/>
      <c r="Q13" s="42"/>
      <c r="R13" s="42"/>
      <c r="S13" s="42"/>
      <c r="T13" s="42"/>
      <c r="U13" s="42"/>
      <c r="V13" s="42"/>
      <c r="W13" s="42"/>
      <c r="X13" s="42"/>
      <c r="Y13" s="124">
        <v>220758.85</v>
      </c>
      <c r="Z13" s="124">
        <v>0</v>
      </c>
      <c r="AA13" s="124">
        <v>0</v>
      </c>
      <c r="AB13" s="45" t="s">
        <v>27</v>
      </c>
      <c r="AC13" s="43"/>
      <c r="AD13" s="43"/>
      <c r="AE13" s="43"/>
      <c r="AF13" s="43"/>
      <c r="AG13" s="43"/>
      <c r="AH13" s="43"/>
      <c r="AI13" s="43"/>
      <c r="AJ13" s="43"/>
      <c r="AK13" s="43"/>
    </row>
    <row r="14" spans="2:37" ht="14.25" customHeight="1">
      <c r="B14" s="2" t="s">
        <v>28</v>
      </c>
      <c r="C14" s="8" t="s">
        <v>29</v>
      </c>
      <c r="D14" s="124">
        <v>6089557.06</v>
      </c>
      <c r="E14" s="124">
        <v>6087668.06</v>
      </c>
      <c r="F14" s="124">
        <v>6092107.06</v>
      </c>
      <c r="G14" s="124">
        <v>5953669.38</v>
      </c>
      <c r="H14" s="124">
        <v>5968000.51</v>
      </c>
      <c r="I14" s="124">
        <v>6031733.14</v>
      </c>
      <c r="J14" s="124">
        <v>4619284.15</v>
      </c>
      <c r="K14" s="124">
        <v>4214922.77</v>
      </c>
      <c r="L14" s="124">
        <v>4721373.91</v>
      </c>
      <c r="M14" s="124">
        <v>6297154.77</v>
      </c>
      <c r="N14" s="124">
        <v>7580579.27</v>
      </c>
      <c r="O14" s="124">
        <v>6595080.63</v>
      </c>
      <c r="P14" s="124">
        <v>5925303.27</v>
      </c>
      <c r="Q14" s="124">
        <v>5987370.4</v>
      </c>
      <c r="R14" s="124">
        <v>6054848.51</v>
      </c>
      <c r="S14" s="124">
        <v>6623232.61</v>
      </c>
      <c r="T14" s="124">
        <v>5987394.59</v>
      </c>
      <c r="U14" s="124">
        <v>5471350.45</v>
      </c>
      <c r="V14" s="124">
        <v>6480575.67</v>
      </c>
      <c r="W14" s="42">
        <f>IF($D$238=1,(I14+0),(R14+0))</f>
        <v>6054848.51</v>
      </c>
      <c r="X14" s="42">
        <f>IF($D$238=1,(V14+0),(O14+0))</f>
        <v>6595080.63</v>
      </c>
      <c r="Y14" s="43"/>
      <c r="Z14" s="43"/>
      <c r="AA14" s="43"/>
      <c r="AB14" s="43"/>
      <c r="AC14" s="43"/>
      <c r="AD14" s="43"/>
      <c r="AE14" s="43"/>
      <c r="AF14" s="43"/>
      <c r="AG14" s="43"/>
      <c r="AH14" s="43"/>
      <c r="AI14" s="43"/>
      <c r="AJ14" s="43"/>
      <c r="AK14" s="43"/>
    </row>
    <row r="15" spans="2:37" ht="14.25" customHeight="1">
      <c r="B15" s="2" t="s">
        <v>30</v>
      </c>
      <c r="C15" s="8" t="s">
        <v>31</v>
      </c>
      <c r="D15" s="41"/>
      <c r="E15" s="42"/>
      <c r="F15" s="42"/>
      <c r="G15" s="124">
        <v>4360966.86</v>
      </c>
      <c r="H15" s="124">
        <v>4290844.77</v>
      </c>
      <c r="I15" s="124">
        <v>4360568.14</v>
      </c>
      <c r="J15" s="127">
        <v>3161423.99</v>
      </c>
      <c r="K15" s="127">
        <v>2588052.99</v>
      </c>
      <c r="L15" s="127">
        <v>3050208.91</v>
      </c>
      <c r="M15" s="124">
        <v>4718452.25</v>
      </c>
      <c r="N15" s="124">
        <v>5769736.88</v>
      </c>
      <c r="O15" s="124">
        <v>4873794.67</v>
      </c>
      <c r="P15" s="124">
        <v>4332600.75</v>
      </c>
      <c r="Q15" s="124">
        <v>4311370.37</v>
      </c>
      <c r="R15" s="124">
        <v>4383848.51</v>
      </c>
      <c r="S15" s="124">
        <v>4952232.61</v>
      </c>
      <c r="T15" s="124">
        <v>4468500.09</v>
      </c>
      <c r="U15" s="124">
        <v>3709638.31</v>
      </c>
      <c r="V15" s="124">
        <v>4759124.71</v>
      </c>
      <c r="W15" s="42">
        <f>IF($D$238=1,(I15+0),(R15+0))</f>
        <v>4383848.51</v>
      </c>
      <c r="X15" s="42">
        <f>IF($D$238=1,(V15+0),(O15+0))</f>
        <v>4873794.67</v>
      </c>
      <c r="Y15" s="43"/>
      <c r="Z15" s="43"/>
      <c r="AA15" s="43"/>
      <c r="AB15" s="43"/>
      <c r="AC15" s="43"/>
      <c r="AD15" s="43"/>
      <c r="AE15" s="43"/>
      <c r="AF15" s="43"/>
      <c r="AG15" s="43"/>
      <c r="AH15" s="43"/>
      <c r="AI15" s="43"/>
      <c r="AJ15" s="43"/>
      <c r="AK15" s="43"/>
    </row>
    <row r="16" spans="2:37" ht="14.25" customHeight="1">
      <c r="B16" s="2" t="s">
        <v>32</v>
      </c>
      <c r="C16" s="8" t="s">
        <v>33</v>
      </c>
      <c r="D16" s="41"/>
      <c r="E16" s="42"/>
      <c r="F16" s="42"/>
      <c r="G16" s="124">
        <v>0</v>
      </c>
      <c r="H16" s="124">
        <v>0</v>
      </c>
      <c r="I16" s="124">
        <v>0</v>
      </c>
      <c r="J16" s="127">
        <v>0</v>
      </c>
      <c r="K16" s="127">
        <v>0</v>
      </c>
      <c r="L16" s="127">
        <v>0</v>
      </c>
      <c r="M16" s="124">
        <v>0</v>
      </c>
      <c r="N16" s="124">
        <v>0</v>
      </c>
      <c r="O16" s="124">
        <v>0</v>
      </c>
      <c r="P16" s="124">
        <v>0</v>
      </c>
      <c r="Q16" s="124">
        <v>0</v>
      </c>
      <c r="R16" s="124">
        <v>0</v>
      </c>
      <c r="S16" s="124">
        <v>0</v>
      </c>
      <c r="T16" s="124">
        <v>0</v>
      </c>
      <c r="U16" s="124">
        <v>0</v>
      </c>
      <c r="V16" s="124">
        <v>0</v>
      </c>
      <c r="W16" s="42">
        <f>IF($D$238=1,(I16+0),(R16+0))</f>
        <v>0</v>
      </c>
      <c r="X16" s="42">
        <f>IF($D$238=1,(V16+0),(O16+0))</f>
        <v>0</v>
      </c>
      <c r="Y16" s="43"/>
      <c r="Z16" s="43"/>
      <c r="AA16" s="43"/>
      <c r="AB16" s="43"/>
      <c r="AC16" s="43"/>
      <c r="AD16" s="43"/>
      <c r="AE16" s="43"/>
      <c r="AF16" s="43"/>
      <c r="AG16" s="43"/>
      <c r="AH16" s="43"/>
      <c r="AI16" s="43"/>
      <c r="AJ16" s="43"/>
      <c r="AK16" s="43"/>
    </row>
    <row r="17" spans="2:37" ht="14.25" customHeight="1">
      <c r="B17" s="2" t="s">
        <v>34</v>
      </c>
      <c r="C17" s="8" t="s">
        <v>35</v>
      </c>
      <c r="D17" s="124">
        <v>469982.41</v>
      </c>
      <c r="E17" s="124">
        <v>446402.94</v>
      </c>
      <c r="F17" s="124">
        <v>455402.94</v>
      </c>
      <c r="G17" s="124">
        <v>685299.77</v>
      </c>
      <c r="H17" s="124">
        <v>352891.38</v>
      </c>
      <c r="I17" s="124">
        <v>416303.66</v>
      </c>
      <c r="J17" s="124">
        <v>683553.65</v>
      </c>
      <c r="K17" s="124">
        <v>322917.46</v>
      </c>
      <c r="L17" s="124">
        <v>406002.38</v>
      </c>
      <c r="M17" s="124">
        <v>742155.17</v>
      </c>
      <c r="N17" s="124">
        <v>344113.1</v>
      </c>
      <c r="O17" s="124">
        <v>501960.99</v>
      </c>
      <c r="P17" s="124">
        <v>735623.14</v>
      </c>
      <c r="Q17" s="124">
        <v>338882.67</v>
      </c>
      <c r="R17" s="124">
        <v>470254.87</v>
      </c>
      <c r="S17" s="124">
        <v>492011.9</v>
      </c>
      <c r="T17" s="124">
        <v>691884.48</v>
      </c>
      <c r="U17" s="124">
        <v>327098.63</v>
      </c>
      <c r="V17" s="124">
        <v>425980.29</v>
      </c>
      <c r="W17" s="42">
        <f>IF($D$238=1,(I17+0),(R17+0))</f>
        <v>470254.87</v>
      </c>
      <c r="X17" s="42">
        <f>IF($D$238=1,(V17+0),(O17+0))</f>
        <v>501960.99</v>
      </c>
      <c r="Y17" s="43"/>
      <c r="Z17" s="43"/>
      <c r="AA17" s="43"/>
      <c r="AB17" s="43"/>
      <c r="AC17" s="43"/>
      <c r="AD17" s="43"/>
      <c r="AE17" s="43"/>
      <c r="AF17" s="43"/>
      <c r="AG17" s="43"/>
      <c r="AH17" s="43"/>
      <c r="AI17" s="43"/>
      <c r="AJ17" s="43"/>
      <c r="AK17" s="43"/>
    </row>
    <row r="18" spans="2:37" ht="14.25" customHeight="1">
      <c r="B18" s="2" t="s">
        <v>36</v>
      </c>
      <c r="C18" s="8" t="s">
        <v>37</v>
      </c>
      <c r="D18" s="124">
        <v>2476921.89</v>
      </c>
      <c r="E18" s="124">
        <v>2275162.1</v>
      </c>
      <c r="F18" s="124">
        <v>2275187.1</v>
      </c>
      <c r="G18" s="124">
        <v>2157113.85</v>
      </c>
      <c r="H18" s="124">
        <v>2257019</v>
      </c>
      <c r="I18" s="124">
        <v>2252104.58</v>
      </c>
      <c r="J18" s="124">
        <v>1766153.67</v>
      </c>
      <c r="K18" s="124">
        <v>1691108.74</v>
      </c>
      <c r="L18" s="124">
        <v>1814304.21</v>
      </c>
      <c r="M18" s="124">
        <v>2468030.4</v>
      </c>
      <c r="N18" s="124">
        <v>2707023.9</v>
      </c>
      <c r="O18" s="124">
        <v>3030550.59</v>
      </c>
      <c r="P18" s="124">
        <v>2300266.07</v>
      </c>
      <c r="Q18" s="124">
        <v>2336063.65</v>
      </c>
      <c r="R18" s="124">
        <v>2444415.84</v>
      </c>
      <c r="S18" s="124">
        <v>3077595.1</v>
      </c>
      <c r="T18" s="124">
        <v>1986281.19</v>
      </c>
      <c r="U18" s="124">
        <v>1926709.09</v>
      </c>
      <c r="V18" s="124">
        <v>2272093.89</v>
      </c>
      <c r="W18" s="42">
        <f>IF($D$238=1,(I18+0),(R18+0))</f>
        <v>2444415.84</v>
      </c>
      <c r="X18" s="42">
        <f>IF($D$238=1,(V18+0),(O18+0))</f>
        <v>3030550.59</v>
      </c>
      <c r="Y18" s="43"/>
      <c r="Z18" s="43"/>
      <c r="AA18" s="43"/>
      <c r="AB18" s="43"/>
      <c r="AC18" s="43"/>
      <c r="AD18" s="43"/>
      <c r="AE18" s="43"/>
      <c r="AF18" s="43"/>
      <c r="AG18" s="43"/>
      <c r="AH18" s="43"/>
      <c r="AI18" s="43"/>
      <c r="AJ18" s="43"/>
      <c r="AK18" s="43"/>
    </row>
    <row r="19" spans="2:37" ht="24" customHeight="1">
      <c r="B19" s="2" t="s">
        <v>38</v>
      </c>
      <c r="C19" s="8" t="s">
        <v>39</v>
      </c>
      <c r="D19" s="124">
        <v>0</v>
      </c>
      <c r="E19" s="124">
        <v>0</v>
      </c>
      <c r="F19" s="124">
        <v>0</v>
      </c>
      <c r="G19" s="42"/>
      <c r="H19" s="42"/>
      <c r="I19" s="42"/>
      <c r="J19" s="42"/>
      <c r="K19" s="42"/>
      <c r="L19" s="42"/>
      <c r="M19" s="42"/>
      <c r="N19" s="42"/>
      <c r="O19" s="42"/>
      <c r="P19" s="42"/>
      <c r="Q19" s="42"/>
      <c r="R19" s="42"/>
      <c r="S19" s="42"/>
      <c r="T19" s="42"/>
      <c r="U19" s="42"/>
      <c r="V19" s="42"/>
      <c r="W19" s="42"/>
      <c r="X19" s="42"/>
      <c r="Y19" s="43"/>
      <c r="Z19" s="43"/>
      <c r="AA19" s="43"/>
      <c r="AB19" s="43"/>
      <c r="AC19" s="43"/>
      <c r="AD19" s="43"/>
      <c r="AE19" s="43"/>
      <c r="AF19" s="43"/>
      <c r="AG19" s="43"/>
      <c r="AH19" s="43"/>
      <c r="AI19" s="43"/>
      <c r="AJ19" s="43"/>
      <c r="AK19" s="43"/>
    </row>
    <row r="20" spans="2:37" ht="24" customHeight="1">
      <c r="B20" s="2" t="s">
        <v>40</v>
      </c>
      <c r="C20" s="8" t="s">
        <v>41</v>
      </c>
      <c r="D20" s="124">
        <v>0</v>
      </c>
      <c r="E20" s="124">
        <v>0</v>
      </c>
      <c r="F20" s="124">
        <v>0</v>
      </c>
      <c r="G20" s="42"/>
      <c r="H20" s="42"/>
      <c r="I20" s="42"/>
      <c r="J20" s="42"/>
      <c r="K20" s="42"/>
      <c r="L20" s="42"/>
      <c r="M20" s="42"/>
      <c r="N20" s="42"/>
      <c r="O20" s="42"/>
      <c r="P20" s="42"/>
      <c r="Q20" s="42"/>
      <c r="R20" s="42"/>
      <c r="S20" s="42"/>
      <c r="T20" s="42"/>
      <c r="U20" s="42"/>
      <c r="V20" s="42"/>
      <c r="W20" s="42"/>
      <c r="X20" s="42"/>
      <c r="Y20" s="43"/>
      <c r="Z20" s="43"/>
      <c r="AA20" s="43"/>
      <c r="AB20" s="43"/>
      <c r="AC20" s="43"/>
      <c r="AD20" s="43"/>
      <c r="AE20" s="43"/>
      <c r="AF20" s="43"/>
      <c r="AG20" s="43"/>
      <c r="AH20" s="43"/>
      <c r="AI20" s="43"/>
      <c r="AJ20" s="43"/>
      <c r="AK20" s="43"/>
    </row>
    <row r="21" spans="2:37" ht="24" customHeight="1">
      <c r="B21" s="2" t="s">
        <v>42</v>
      </c>
      <c r="C21" s="8" t="s">
        <v>43</v>
      </c>
      <c r="D21" s="124">
        <v>0</v>
      </c>
      <c r="E21" s="124">
        <v>0</v>
      </c>
      <c r="F21" s="124">
        <v>0</v>
      </c>
      <c r="G21" s="42"/>
      <c r="H21" s="42"/>
      <c r="I21" s="42"/>
      <c r="J21" s="42"/>
      <c r="K21" s="42"/>
      <c r="L21" s="42"/>
      <c r="M21" s="42"/>
      <c r="N21" s="42"/>
      <c r="O21" s="42"/>
      <c r="P21" s="42"/>
      <c r="Q21" s="42"/>
      <c r="R21" s="42"/>
      <c r="S21" s="42"/>
      <c r="T21" s="42"/>
      <c r="U21" s="42"/>
      <c r="V21" s="42"/>
      <c r="W21" s="42"/>
      <c r="X21" s="42"/>
      <c r="Y21" s="43"/>
      <c r="Z21" s="43"/>
      <c r="AA21" s="43"/>
      <c r="AB21" s="43"/>
      <c r="AC21" s="43"/>
      <c r="AD21" s="43"/>
      <c r="AE21" s="43"/>
      <c r="AF21" s="43"/>
      <c r="AG21" s="43"/>
      <c r="AH21" s="43"/>
      <c r="AI21" s="43"/>
      <c r="AJ21" s="43"/>
      <c r="AK21" s="43"/>
    </row>
    <row r="22" spans="2:37" ht="14.25" customHeight="1">
      <c r="B22" s="2" t="s">
        <v>44</v>
      </c>
      <c r="C22" s="8" t="s">
        <v>45</v>
      </c>
      <c r="D22" s="124">
        <v>0</v>
      </c>
      <c r="E22" s="124">
        <v>0</v>
      </c>
      <c r="F22" s="124">
        <v>0</v>
      </c>
      <c r="G22" s="42"/>
      <c r="H22" s="42"/>
      <c r="I22" s="42"/>
      <c r="J22" s="42"/>
      <c r="K22" s="42"/>
      <c r="L22" s="42"/>
      <c r="M22" s="42"/>
      <c r="N22" s="42"/>
      <c r="O22" s="42"/>
      <c r="P22" s="42"/>
      <c r="Q22" s="42"/>
      <c r="R22" s="42"/>
      <c r="S22" s="42"/>
      <c r="T22" s="42"/>
      <c r="U22" s="42"/>
      <c r="V22" s="42"/>
      <c r="W22" s="42"/>
      <c r="X22" s="42"/>
      <c r="Y22" s="43"/>
      <c r="Z22" s="43"/>
      <c r="AA22" s="43"/>
      <c r="AB22" s="43"/>
      <c r="AC22" s="43"/>
      <c r="AD22" s="43"/>
      <c r="AE22" s="43"/>
      <c r="AF22" s="43"/>
      <c r="AG22" s="43"/>
      <c r="AH22" s="43"/>
      <c r="AI22" s="43"/>
      <c r="AJ22" s="43"/>
      <c r="AK22" s="43"/>
    </row>
    <row r="23" spans="2:37" ht="14.25" customHeight="1">
      <c r="B23" s="2" t="s">
        <v>46</v>
      </c>
      <c r="C23" s="8" t="s">
        <v>47</v>
      </c>
      <c r="D23" s="124">
        <v>147000</v>
      </c>
      <c r="E23" s="124">
        <v>250000</v>
      </c>
      <c r="F23" s="124">
        <v>250000</v>
      </c>
      <c r="G23" s="42"/>
      <c r="H23" s="42"/>
      <c r="I23" s="42"/>
      <c r="J23" s="42"/>
      <c r="K23" s="42"/>
      <c r="L23" s="42"/>
      <c r="M23" s="42"/>
      <c r="N23" s="42"/>
      <c r="O23" s="42"/>
      <c r="P23" s="42"/>
      <c r="Q23" s="42"/>
      <c r="R23" s="42"/>
      <c r="S23" s="42"/>
      <c r="T23" s="42"/>
      <c r="U23" s="42"/>
      <c r="V23" s="42"/>
      <c r="W23" s="42"/>
      <c r="X23" s="42"/>
      <c r="Y23" s="43"/>
      <c r="Z23" s="43"/>
      <c r="AA23" s="43"/>
      <c r="AB23" s="43"/>
      <c r="AC23" s="43"/>
      <c r="AD23" s="43"/>
      <c r="AE23" s="43"/>
      <c r="AF23" s="43"/>
      <c r="AG23" s="43"/>
      <c r="AH23" s="43"/>
      <c r="AI23" s="43"/>
      <c r="AJ23" s="43"/>
      <c r="AK23" s="43"/>
    </row>
    <row r="24" spans="2:37" ht="14.25" customHeight="1">
      <c r="B24" s="2" t="s">
        <v>48</v>
      </c>
      <c r="C24" s="8" t="s">
        <v>49</v>
      </c>
      <c r="D24" s="124">
        <v>0</v>
      </c>
      <c r="E24" s="124">
        <v>0</v>
      </c>
      <c r="F24" s="124">
        <v>0</v>
      </c>
      <c r="G24" s="42"/>
      <c r="H24" s="42"/>
      <c r="I24" s="42"/>
      <c r="J24" s="42"/>
      <c r="K24" s="42"/>
      <c r="L24" s="42"/>
      <c r="M24" s="42"/>
      <c r="N24" s="42"/>
      <c r="O24" s="42"/>
      <c r="P24" s="42"/>
      <c r="Q24" s="42"/>
      <c r="R24" s="42"/>
      <c r="S24" s="42"/>
      <c r="T24" s="42"/>
      <c r="U24" s="42"/>
      <c r="V24" s="42"/>
      <c r="W24" s="42"/>
      <c r="X24" s="42"/>
      <c r="Y24" s="43"/>
      <c r="Z24" s="43"/>
      <c r="AA24" s="43"/>
      <c r="AB24" s="43"/>
      <c r="AC24" s="43"/>
      <c r="AD24" s="43"/>
      <c r="AE24" s="43"/>
      <c r="AF24" s="43"/>
      <c r="AG24" s="43"/>
      <c r="AH24" s="43"/>
      <c r="AI24" s="43"/>
      <c r="AJ24" s="43"/>
      <c r="AK24" s="43"/>
    </row>
    <row r="25" spans="2:37" ht="14.25" customHeight="1">
      <c r="B25" s="2" t="s">
        <v>50</v>
      </c>
      <c r="C25" s="8" t="s">
        <v>51</v>
      </c>
      <c r="D25" s="124">
        <v>0</v>
      </c>
      <c r="E25" s="124">
        <v>0</v>
      </c>
      <c r="F25" s="124">
        <v>0</v>
      </c>
      <c r="G25" s="42"/>
      <c r="H25" s="42"/>
      <c r="I25" s="42"/>
      <c r="J25" s="42"/>
      <c r="K25" s="42"/>
      <c r="L25" s="42"/>
      <c r="M25" s="42"/>
      <c r="N25" s="42"/>
      <c r="O25" s="42"/>
      <c r="P25" s="42"/>
      <c r="Q25" s="42"/>
      <c r="R25" s="42"/>
      <c r="S25" s="42"/>
      <c r="T25" s="42"/>
      <c r="U25" s="42"/>
      <c r="V25" s="42"/>
      <c r="W25" s="42"/>
      <c r="X25" s="42"/>
      <c r="Y25" s="43"/>
      <c r="Z25" s="43"/>
      <c r="AA25" s="43"/>
      <c r="AB25" s="43"/>
      <c r="AC25" s="43"/>
      <c r="AD25" s="43"/>
      <c r="AE25" s="43"/>
      <c r="AF25" s="43"/>
      <c r="AG25" s="43"/>
      <c r="AH25" s="43"/>
      <c r="AI25" s="43"/>
      <c r="AJ25" s="43"/>
      <c r="AK25" s="43"/>
    </row>
    <row r="26" spans="2:37" ht="15" customHeight="1">
      <c r="B26" s="2" t="s">
        <v>52</v>
      </c>
      <c r="C26" s="8" t="s">
        <v>53</v>
      </c>
      <c r="D26" s="124">
        <v>3812000</v>
      </c>
      <c r="E26" s="124">
        <v>2212000</v>
      </c>
      <c r="F26" s="124">
        <v>2212000</v>
      </c>
      <c r="G26" s="42"/>
      <c r="H26" s="42"/>
      <c r="I26" s="42"/>
      <c r="J26" s="42"/>
      <c r="K26" s="42"/>
      <c r="L26" s="42"/>
      <c r="M26" s="42"/>
      <c r="N26" s="42"/>
      <c r="O26" s="42"/>
      <c r="P26" s="42"/>
      <c r="Q26" s="42"/>
      <c r="R26" s="42"/>
      <c r="S26" s="42"/>
      <c r="T26" s="42"/>
      <c r="U26" s="42"/>
      <c r="V26" s="42"/>
      <c r="W26" s="42"/>
      <c r="X26" s="42"/>
      <c r="Y26" s="43"/>
      <c r="Z26" s="43"/>
      <c r="AA26" s="43"/>
      <c r="AB26" s="43"/>
      <c r="AC26" s="120"/>
      <c r="AD26" s="120"/>
      <c r="AE26" s="120"/>
      <c r="AF26" s="43"/>
      <c r="AG26" s="43"/>
      <c r="AH26" s="43"/>
      <c r="AI26" s="43"/>
      <c r="AJ26" s="43"/>
      <c r="AK26" s="43"/>
    </row>
    <row r="27" spans="2:37" ht="15" customHeight="1">
      <c r="B27" s="2" t="s">
        <v>54</v>
      </c>
      <c r="C27" s="8" t="s">
        <v>55</v>
      </c>
      <c r="D27" s="124">
        <v>0</v>
      </c>
      <c r="E27" s="124">
        <v>0</v>
      </c>
      <c r="F27" s="124">
        <v>0</v>
      </c>
      <c r="G27" s="42"/>
      <c r="H27" s="42"/>
      <c r="I27" s="42"/>
      <c r="J27" s="42"/>
      <c r="K27" s="42"/>
      <c r="L27" s="42"/>
      <c r="M27" s="42"/>
      <c r="N27" s="42"/>
      <c r="O27" s="42"/>
      <c r="P27" s="42"/>
      <c r="Q27" s="42"/>
      <c r="R27" s="42"/>
      <c r="S27" s="42"/>
      <c r="T27" s="42"/>
      <c r="U27" s="42"/>
      <c r="V27" s="42"/>
      <c r="W27" s="42"/>
      <c r="X27" s="42"/>
      <c r="Y27" s="43"/>
      <c r="Z27" s="43"/>
      <c r="AA27" s="43"/>
      <c r="AB27" s="43"/>
      <c r="AC27" s="120"/>
      <c r="AD27" s="120"/>
      <c r="AE27" s="120"/>
      <c r="AF27" s="43"/>
      <c r="AG27" s="43"/>
      <c r="AH27" s="43"/>
      <c r="AI27" s="43"/>
      <c r="AJ27" s="43"/>
      <c r="AK27" s="43"/>
    </row>
    <row r="28" spans="2:37" ht="45" customHeight="1">
      <c r="B28" s="2" t="s">
        <v>815</v>
      </c>
      <c r="C28" s="8" t="s">
        <v>816</v>
      </c>
      <c r="D28" s="41">
        <f>D10-D31+D14+D17+D18+D19-D33-D73-D66+Y28+AB28-AE28+AH28</f>
        <v>-1.4842953532934189E-09</v>
      </c>
      <c r="E28" s="41">
        <f>E10-E31+E14+E17+E18+E19-E33-E73-E66+Z28+AC28-AF28+AI28</f>
        <v>-1.0477378964424133E-09</v>
      </c>
      <c r="F28" s="41">
        <f>F10-F31+F14+F17+F18+F19-F33-F73-F66+AA28+AD28-AG28+AJ28</f>
        <v>0</v>
      </c>
      <c r="G28" s="39"/>
      <c r="H28" s="39"/>
      <c r="I28" s="39"/>
      <c r="J28" s="39"/>
      <c r="K28" s="39"/>
      <c r="L28" s="39"/>
      <c r="M28" s="39"/>
      <c r="N28" s="39"/>
      <c r="O28" s="39"/>
      <c r="P28" s="39"/>
      <c r="Q28" s="39"/>
      <c r="R28" s="39"/>
      <c r="S28" s="39"/>
      <c r="T28" s="42"/>
      <c r="U28" s="42"/>
      <c r="V28" s="42"/>
      <c r="W28" s="42"/>
      <c r="X28" s="42"/>
      <c r="Y28" s="128">
        <v>40000</v>
      </c>
      <c r="Z28" s="128">
        <v>0</v>
      </c>
      <c r="AA28" s="128">
        <v>0</v>
      </c>
      <c r="AB28" s="128">
        <v>3500</v>
      </c>
      <c r="AC28" s="128">
        <v>2500</v>
      </c>
      <c r="AD28" s="128">
        <v>2000</v>
      </c>
      <c r="AE28" s="128">
        <v>193630</v>
      </c>
      <c r="AF28" s="128">
        <v>69220</v>
      </c>
      <c r="AG28" s="128">
        <v>69220</v>
      </c>
      <c r="AH28" s="128">
        <v>0</v>
      </c>
      <c r="AI28" s="128">
        <v>0</v>
      </c>
      <c r="AJ28" s="128">
        <v>0</v>
      </c>
      <c r="AK28" s="40"/>
    </row>
    <row r="29" spans="3:31" ht="15" customHeight="1">
      <c r="C29" s="6"/>
      <c r="D29" s="4" t="s">
        <v>1</v>
      </c>
      <c r="E29" s="4" t="s">
        <v>1</v>
      </c>
      <c r="F29" s="4" t="s">
        <v>1</v>
      </c>
      <c r="G29" s="5" t="s">
        <v>56</v>
      </c>
      <c r="H29" s="5" t="s">
        <v>56</v>
      </c>
      <c r="I29" s="5" t="s">
        <v>56</v>
      </c>
      <c r="J29" s="5" t="s">
        <v>56</v>
      </c>
      <c r="K29" s="5" t="s">
        <v>56</v>
      </c>
      <c r="L29" s="5" t="s">
        <v>56</v>
      </c>
      <c r="M29" s="4" t="s">
        <v>1</v>
      </c>
      <c r="Q29" s="5" t="s">
        <v>1</v>
      </c>
      <c r="AC29" s="120"/>
      <c r="AD29" s="120"/>
      <c r="AE29" s="120"/>
    </row>
    <row r="30" spans="1:31" ht="45" customHeight="1">
      <c r="A30" s="2" t="s">
        <v>3</v>
      </c>
      <c r="B30" s="2" t="s">
        <v>4</v>
      </c>
      <c r="C30" s="6" t="s">
        <v>5</v>
      </c>
      <c r="D30" s="11" t="s">
        <v>57</v>
      </c>
      <c r="E30" s="11" t="s">
        <v>58</v>
      </c>
      <c r="F30" s="11" t="s">
        <v>59</v>
      </c>
      <c r="G30" s="11" t="s">
        <v>60</v>
      </c>
      <c r="H30" s="11" t="s">
        <v>13</v>
      </c>
      <c r="I30" s="11" t="s">
        <v>14</v>
      </c>
      <c r="J30" s="11" t="s">
        <v>15</v>
      </c>
      <c r="K30" s="11" t="s">
        <v>16</v>
      </c>
      <c r="L30" s="11" t="s">
        <v>17</v>
      </c>
      <c r="M30" s="11" t="s">
        <v>61</v>
      </c>
      <c r="N30" s="12" t="s">
        <v>62</v>
      </c>
      <c r="O30" s="12" t="s">
        <v>63</v>
      </c>
      <c r="P30" s="12" t="s">
        <v>64</v>
      </c>
      <c r="Q30" s="11" t="s">
        <v>65</v>
      </c>
      <c r="R30" s="12" t="s">
        <v>66</v>
      </c>
      <c r="S30" s="12" t="s">
        <v>67</v>
      </c>
      <c r="T30" s="12" t="s">
        <v>68</v>
      </c>
      <c r="U30" s="12" t="s">
        <v>69</v>
      </c>
      <c r="V30" s="11" t="s">
        <v>806</v>
      </c>
      <c r="W30" s="11" t="s">
        <v>807</v>
      </c>
      <c r="X30" s="11" t="s">
        <v>808</v>
      </c>
      <c r="Y30" s="11" t="s">
        <v>809</v>
      </c>
      <c r="Z30" s="11" t="s">
        <v>810</v>
      </c>
      <c r="AA30" s="11" t="s">
        <v>811</v>
      </c>
      <c r="AB30" s="11" t="s">
        <v>821</v>
      </c>
      <c r="AC30" s="11" t="s">
        <v>822</v>
      </c>
      <c r="AD30" s="11" t="s">
        <v>823</v>
      </c>
      <c r="AE30" s="120"/>
    </row>
    <row r="31" spans="2:31" ht="15" customHeight="1">
      <c r="B31" s="2">
        <v>0</v>
      </c>
      <c r="C31" s="13" t="s">
        <v>70</v>
      </c>
      <c r="D31" s="124">
        <v>0</v>
      </c>
      <c r="E31" s="124">
        <v>0</v>
      </c>
      <c r="F31" s="124">
        <v>0</v>
      </c>
      <c r="G31" s="42"/>
      <c r="H31" s="42"/>
      <c r="I31" s="42"/>
      <c r="J31" s="42"/>
      <c r="K31" s="42"/>
      <c r="L31" s="42"/>
      <c r="M31" s="42"/>
      <c r="N31" s="42"/>
      <c r="O31" s="42"/>
      <c r="P31" s="42"/>
      <c r="Q31" s="42"/>
      <c r="R31" s="42"/>
      <c r="S31" s="42"/>
      <c r="T31" s="42"/>
      <c r="U31" s="42"/>
      <c r="V31" s="42"/>
      <c r="W31" s="42"/>
      <c r="X31" s="42"/>
      <c r="Y31" s="42"/>
      <c r="Z31" s="42"/>
      <c r="AA31" s="42"/>
      <c r="AB31" s="121"/>
      <c r="AC31" s="122"/>
      <c r="AD31" s="122"/>
      <c r="AE31" s="120"/>
    </row>
    <row r="32" spans="2:31" ht="28.5" customHeight="1">
      <c r="B32" s="2" t="s">
        <v>71</v>
      </c>
      <c r="C32" s="13" t="s">
        <v>72</v>
      </c>
      <c r="D32" s="124">
        <v>8728694.3</v>
      </c>
      <c r="E32" s="124">
        <v>8489315.97</v>
      </c>
      <c r="F32" s="124">
        <v>8487732.6</v>
      </c>
      <c r="G32" s="42"/>
      <c r="H32" s="42"/>
      <c r="I32" s="42"/>
      <c r="J32" s="42"/>
      <c r="K32" s="42"/>
      <c r="L32" s="42"/>
      <c r="M32" s="42"/>
      <c r="N32" s="42"/>
      <c r="O32" s="42"/>
      <c r="P32" s="42"/>
      <c r="Q32" s="42"/>
      <c r="R32" s="42"/>
      <c r="S32" s="42"/>
      <c r="T32" s="42"/>
      <c r="U32" s="42"/>
      <c r="V32" s="42"/>
      <c r="W32" s="42"/>
      <c r="X32" s="42"/>
      <c r="Y32" s="42"/>
      <c r="Z32" s="42"/>
      <c r="AA32" s="42"/>
      <c r="AB32" s="121"/>
      <c r="AC32" s="122"/>
      <c r="AD32" s="122"/>
      <c r="AE32" s="120"/>
    </row>
    <row r="33" spans="2:31" ht="15" customHeight="1">
      <c r="B33" s="2" t="s">
        <v>73</v>
      </c>
      <c r="C33" s="13" t="s">
        <v>74</v>
      </c>
      <c r="D33" s="124">
        <v>8728694.3</v>
      </c>
      <c r="E33" s="124">
        <v>8489315.97</v>
      </c>
      <c r="F33" s="124">
        <v>8487732.6</v>
      </c>
      <c r="G33" s="42"/>
      <c r="H33" s="42"/>
      <c r="I33" s="42"/>
      <c r="J33" s="42"/>
      <c r="K33" s="42"/>
      <c r="L33" s="42"/>
      <c r="M33" s="42"/>
      <c r="N33" s="42"/>
      <c r="O33" s="42"/>
      <c r="P33" s="42"/>
      <c r="Q33" s="42"/>
      <c r="R33" s="42"/>
      <c r="S33" s="42"/>
      <c r="T33" s="42"/>
      <c r="U33" s="42"/>
      <c r="V33" s="124">
        <v>7361899.45</v>
      </c>
      <c r="W33" s="124">
        <v>7578471.96</v>
      </c>
      <c r="X33" s="124">
        <v>8124801.74</v>
      </c>
      <c r="Y33" s="124">
        <v>7268159.81</v>
      </c>
      <c r="Z33" s="124">
        <v>7559456.51</v>
      </c>
      <c r="AA33" s="124">
        <v>7513857.9</v>
      </c>
      <c r="AB33" s="121"/>
      <c r="AC33" s="122"/>
      <c r="AD33" s="122"/>
      <c r="AE33" s="120"/>
    </row>
    <row r="34" spans="2:31" ht="15" customHeight="1">
      <c r="B34" s="2" t="s">
        <v>75</v>
      </c>
      <c r="C34" s="13" t="s">
        <v>76</v>
      </c>
      <c r="D34" s="124">
        <v>2401853.64</v>
      </c>
      <c r="E34" s="124">
        <v>2383444.87</v>
      </c>
      <c r="F34" s="124">
        <v>2383444.87</v>
      </c>
      <c r="G34" s="42"/>
      <c r="H34" s="42"/>
      <c r="I34" s="42"/>
      <c r="J34" s="42"/>
      <c r="K34" s="42"/>
      <c r="L34" s="42"/>
      <c r="M34" s="42"/>
      <c r="N34" s="42"/>
      <c r="O34" s="42"/>
      <c r="P34" s="42"/>
      <c r="Q34" s="42"/>
      <c r="R34" s="42"/>
      <c r="S34" s="42"/>
      <c r="T34" s="42"/>
      <c r="U34" s="42"/>
      <c r="V34" s="42"/>
      <c r="W34" s="42"/>
      <c r="X34" s="42"/>
      <c r="Y34" s="42"/>
      <c r="Z34" s="42"/>
      <c r="AA34" s="42"/>
      <c r="AB34" s="121"/>
      <c r="AC34" s="122"/>
      <c r="AD34" s="122"/>
      <c r="AE34" s="120"/>
    </row>
    <row r="35" spans="2:31" ht="24" customHeight="1">
      <c r="B35" s="2" t="s">
        <v>77</v>
      </c>
      <c r="C35" s="13" t="s">
        <v>78</v>
      </c>
      <c r="D35" s="124">
        <v>283771.8</v>
      </c>
      <c r="E35" s="124">
        <v>255708.13</v>
      </c>
      <c r="F35" s="124">
        <v>255708.13</v>
      </c>
      <c r="G35" s="42"/>
      <c r="H35" s="42"/>
      <c r="I35" s="42"/>
      <c r="J35" s="42"/>
      <c r="K35" s="42"/>
      <c r="L35" s="42"/>
      <c r="M35" s="42"/>
      <c r="N35" s="42"/>
      <c r="O35" s="42"/>
      <c r="P35" s="42"/>
      <c r="Q35" s="42"/>
      <c r="R35" s="42"/>
      <c r="S35" s="42"/>
      <c r="T35" s="42"/>
      <c r="U35" s="42"/>
      <c r="V35" s="42"/>
      <c r="W35" s="42"/>
      <c r="X35" s="42"/>
      <c r="Y35" s="42"/>
      <c r="Z35" s="42"/>
      <c r="AA35" s="42"/>
      <c r="AB35" s="121"/>
      <c r="AC35" s="122"/>
      <c r="AD35" s="122"/>
      <c r="AE35" s="120"/>
    </row>
    <row r="36" spans="2:31" ht="24" customHeight="1">
      <c r="B36" s="2" t="s">
        <v>79</v>
      </c>
      <c r="C36" s="13" t="s">
        <v>80</v>
      </c>
      <c r="D36" s="124">
        <v>0</v>
      </c>
      <c r="E36" s="124">
        <v>0</v>
      </c>
      <c r="F36" s="124">
        <v>0</v>
      </c>
      <c r="G36" s="42"/>
      <c r="H36" s="42"/>
      <c r="I36" s="42"/>
      <c r="J36" s="42"/>
      <c r="K36" s="42"/>
      <c r="L36" s="42"/>
      <c r="M36" s="42"/>
      <c r="N36" s="42"/>
      <c r="O36" s="42"/>
      <c r="P36" s="42"/>
      <c r="Q36" s="42"/>
      <c r="R36" s="42"/>
      <c r="S36" s="42"/>
      <c r="T36" s="42"/>
      <c r="U36" s="42"/>
      <c r="V36" s="42"/>
      <c r="W36" s="42"/>
      <c r="X36" s="42"/>
      <c r="Y36" s="42"/>
      <c r="Z36" s="42"/>
      <c r="AA36" s="42"/>
      <c r="AB36" s="121"/>
      <c r="AC36" s="122"/>
      <c r="AD36" s="122"/>
      <c r="AE36" s="120"/>
    </row>
    <row r="37" spans="2:31" ht="15" customHeight="1">
      <c r="B37" s="2" t="s">
        <v>81</v>
      </c>
      <c r="C37" s="13" t="s">
        <v>82</v>
      </c>
      <c r="D37" s="124">
        <v>37813.82</v>
      </c>
      <c r="E37" s="124">
        <v>23307</v>
      </c>
      <c r="F37" s="124">
        <v>23307</v>
      </c>
      <c r="G37" s="42"/>
      <c r="H37" s="42"/>
      <c r="I37" s="42"/>
      <c r="J37" s="42"/>
      <c r="K37" s="42"/>
      <c r="L37" s="42"/>
      <c r="M37" s="42"/>
      <c r="N37" s="42"/>
      <c r="O37" s="42"/>
      <c r="P37" s="42"/>
      <c r="Q37" s="42"/>
      <c r="R37" s="42"/>
      <c r="S37" s="42"/>
      <c r="T37" s="42"/>
      <c r="U37" s="42"/>
      <c r="V37" s="42"/>
      <c r="W37" s="42"/>
      <c r="X37" s="42"/>
      <c r="Y37" s="42"/>
      <c r="Z37" s="42"/>
      <c r="AA37" s="42"/>
      <c r="AB37" s="121"/>
      <c r="AC37" s="122"/>
      <c r="AD37" s="122"/>
      <c r="AE37" s="120"/>
    </row>
    <row r="38" spans="2:31" ht="15" customHeight="1">
      <c r="B38" s="2" t="s">
        <v>83</v>
      </c>
      <c r="C38" s="13" t="s">
        <v>84</v>
      </c>
      <c r="D38" s="124">
        <v>0</v>
      </c>
      <c r="E38" s="124">
        <v>0</v>
      </c>
      <c r="F38" s="124">
        <v>0</v>
      </c>
      <c r="G38" s="42"/>
      <c r="H38" s="42"/>
      <c r="I38" s="42"/>
      <c r="J38" s="42"/>
      <c r="K38" s="42"/>
      <c r="L38" s="42"/>
      <c r="M38" s="42"/>
      <c r="N38" s="42"/>
      <c r="O38" s="42"/>
      <c r="P38" s="42"/>
      <c r="Q38" s="42"/>
      <c r="R38" s="42"/>
      <c r="S38" s="42"/>
      <c r="T38" s="42"/>
      <c r="U38" s="42"/>
      <c r="V38" s="42"/>
      <c r="W38" s="42"/>
      <c r="X38" s="42"/>
      <c r="Y38" s="42"/>
      <c r="Z38" s="42"/>
      <c r="AA38" s="42"/>
      <c r="AB38" s="121"/>
      <c r="AC38" s="122"/>
      <c r="AD38" s="122"/>
      <c r="AE38" s="120"/>
    </row>
    <row r="39" spans="2:31" ht="28.5" customHeight="1">
      <c r="B39" s="2" t="s">
        <v>85</v>
      </c>
      <c r="C39" s="13" t="s">
        <v>86</v>
      </c>
      <c r="D39" s="124">
        <v>0</v>
      </c>
      <c r="E39" s="124">
        <v>0</v>
      </c>
      <c r="F39" s="124">
        <v>0</v>
      </c>
      <c r="G39" s="42"/>
      <c r="H39" s="42"/>
      <c r="I39" s="42"/>
      <c r="J39" s="42"/>
      <c r="K39" s="42"/>
      <c r="L39" s="42"/>
      <c r="M39" s="42"/>
      <c r="N39" s="42"/>
      <c r="O39" s="42"/>
      <c r="P39" s="42"/>
      <c r="Q39" s="42"/>
      <c r="R39" s="42"/>
      <c r="S39" s="42"/>
      <c r="T39" s="42"/>
      <c r="U39" s="42"/>
      <c r="V39" s="42"/>
      <c r="W39" s="42"/>
      <c r="X39" s="42"/>
      <c r="Y39" s="42"/>
      <c r="Z39" s="42"/>
      <c r="AA39" s="42"/>
      <c r="AB39" s="121"/>
      <c r="AC39" s="122"/>
      <c r="AD39" s="122"/>
      <c r="AE39" s="120"/>
    </row>
    <row r="40" spans="2:31" ht="15" customHeight="1">
      <c r="B40" s="2" t="s">
        <v>87</v>
      </c>
      <c r="C40" s="13" t="s">
        <v>88</v>
      </c>
      <c r="D40" s="124">
        <v>153518.13</v>
      </c>
      <c r="E40" s="124">
        <v>150302.15</v>
      </c>
      <c r="F40" s="124">
        <v>150302.15</v>
      </c>
      <c r="G40" s="42"/>
      <c r="H40" s="42"/>
      <c r="I40" s="42"/>
      <c r="J40" s="42"/>
      <c r="K40" s="42"/>
      <c r="L40" s="42"/>
      <c r="M40" s="42"/>
      <c r="N40" s="42"/>
      <c r="O40" s="42"/>
      <c r="P40" s="42"/>
      <c r="Q40" s="42"/>
      <c r="R40" s="42"/>
      <c r="S40" s="42"/>
      <c r="T40" s="42"/>
      <c r="U40" s="42"/>
      <c r="V40" s="42"/>
      <c r="W40" s="42"/>
      <c r="X40" s="42"/>
      <c r="Y40" s="42"/>
      <c r="Z40" s="42"/>
      <c r="AA40" s="42"/>
      <c r="AB40" s="121"/>
      <c r="AC40" s="122"/>
      <c r="AD40" s="122"/>
      <c r="AE40" s="120"/>
    </row>
    <row r="41" spans="2:31" ht="15" customHeight="1">
      <c r="B41" s="2" t="s">
        <v>89</v>
      </c>
      <c r="C41" s="13" t="s">
        <v>90</v>
      </c>
      <c r="D41" s="124">
        <v>4312519.35</v>
      </c>
      <c r="E41" s="124">
        <v>4091102.6</v>
      </c>
      <c r="F41" s="124">
        <v>4081809.7</v>
      </c>
      <c r="G41" s="44"/>
      <c r="H41" s="42"/>
      <c r="I41" s="42"/>
      <c r="J41" s="42"/>
      <c r="K41" s="42"/>
      <c r="L41" s="42"/>
      <c r="M41" s="124">
        <v>1138269.29</v>
      </c>
      <c r="N41" s="42"/>
      <c r="O41" s="42"/>
      <c r="P41" s="42"/>
      <c r="Q41" s="124">
        <v>5450788.64</v>
      </c>
      <c r="R41" s="42"/>
      <c r="S41" s="42"/>
      <c r="T41" s="42"/>
      <c r="U41" s="42"/>
      <c r="V41" s="42"/>
      <c r="W41" s="42"/>
      <c r="X41" s="42"/>
      <c r="Y41" s="42"/>
      <c r="Z41" s="42"/>
      <c r="AA41" s="42"/>
      <c r="AB41" s="121"/>
      <c r="AC41" s="122"/>
      <c r="AD41" s="122"/>
      <c r="AE41" s="120"/>
    </row>
    <row r="42" spans="2:31" ht="15" customHeight="1">
      <c r="B42" s="2" t="s">
        <v>91</v>
      </c>
      <c r="C42" s="13" t="s">
        <v>92</v>
      </c>
      <c r="D42" s="124">
        <v>0</v>
      </c>
      <c r="E42" s="124">
        <v>0</v>
      </c>
      <c r="F42" s="124">
        <v>0</v>
      </c>
      <c r="G42" s="42"/>
      <c r="H42" s="42"/>
      <c r="I42" s="42"/>
      <c r="J42" s="42"/>
      <c r="K42" s="42"/>
      <c r="L42" s="42"/>
      <c r="M42" s="42"/>
      <c r="N42" s="42"/>
      <c r="O42" s="42"/>
      <c r="P42" s="42"/>
      <c r="Q42" s="42"/>
      <c r="R42" s="42"/>
      <c r="S42" s="42"/>
      <c r="T42" s="42"/>
      <c r="U42" s="42"/>
      <c r="V42" s="42"/>
      <c r="W42" s="42"/>
      <c r="X42" s="42"/>
      <c r="Y42" s="42"/>
      <c r="Z42" s="42"/>
      <c r="AA42" s="42"/>
      <c r="AB42" s="121"/>
      <c r="AC42" s="122"/>
      <c r="AD42" s="122"/>
      <c r="AE42" s="120"/>
    </row>
    <row r="43" spans="2:31" ht="15" customHeight="1">
      <c r="B43" s="2" t="s">
        <v>93</v>
      </c>
      <c r="C43" s="13" t="s">
        <v>94</v>
      </c>
      <c r="D43" s="124">
        <v>0</v>
      </c>
      <c r="E43" s="124">
        <v>0</v>
      </c>
      <c r="F43" s="124">
        <v>0</v>
      </c>
      <c r="G43" s="42"/>
      <c r="H43" s="42"/>
      <c r="I43" s="42"/>
      <c r="J43" s="42"/>
      <c r="K43" s="42"/>
      <c r="L43" s="42"/>
      <c r="M43" s="42"/>
      <c r="N43" s="42"/>
      <c r="O43" s="42"/>
      <c r="P43" s="42"/>
      <c r="Q43" s="42"/>
      <c r="R43" s="42"/>
      <c r="S43" s="42"/>
      <c r="T43" s="42"/>
      <c r="U43" s="42"/>
      <c r="V43" s="42"/>
      <c r="W43" s="42"/>
      <c r="X43" s="42"/>
      <c r="Y43" s="42"/>
      <c r="Z43" s="42"/>
      <c r="AA43" s="42"/>
      <c r="AB43" s="121"/>
      <c r="AC43" s="122"/>
      <c r="AD43" s="122"/>
      <c r="AE43" s="120"/>
    </row>
    <row r="44" spans="2:31" ht="28.5" customHeight="1">
      <c r="B44" s="2" t="s">
        <v>95</v>
      </c>
      <c r="C44" s="13" t="s">
        <v>96</v>
      </c>
      <c r="D44" s="124">
        <v>2116643.25</v>
      </c>
      <c r="E44" s="124">
        <v>2072643.25</v>
      </c>
      <c r="F44" s="124">
        <v>2072643.25</v>
      </c>
      <c r="G44" s="44"/>
      <c r="H44" s="42"/>
      <c r="I44" s="42"/>
      <c r="J44" s="42"/>
      <c r="K44" s="42"/>
      <c r="L44" s="42"/>
      <c r="M44" s="41"/>
      <c r="N44" s="42"/>
      <c r="O44" s="42"/>
      <c r="P44" s="42"/>
      <c r="Q44" s="42"/>
      <c r="R44" s="42"/>
      <c r="S44" s="42"/>
      <c r="T44" s="42"/>
      <c r="U44" s="42"/>
      <c r="V44" s="42"/>
      <c r="W44" s="42"/>
      <c r="X44" s="42"/>
      <c r="Y44" s="42"/>
      <c r="Z44" s="42"/>
      <c r="AA44" s="42"/>
      <c r="AB44" s="121"/>
      <c r="AC44" s="122"/>
      <c r="AD44" s="122"/>
      <c r="AE44" s="120"/>
    </row>
    <row r="45" spans="2:31" ht="28.5" customHeight="1">
      <c r="B45" s="2" t="s">
        <v>97</v>
      </c>
      <c r="C45" s="13" t="s">
        <v>98</v>
      </c>
      <c r="D45" s="124">
        <v>0</v>
      </c>
      <c r="E45" s="124">
        <v>0</v>
      </c>
      <c r="F45" s="124">
        <v>0</v>
      </c>
      <c r="G45" s="42"/>
      <c r="H45" s="42"/>
      <c r="I45" s="42"/>
      <c r="J45" s="42"/>
      <c r="K45" s="42"/>
      <c r="L45" s="42"/>
      <c r="M45" s="42"/>
      <c r="N45" s="42"/>
      <c r="O45" s="42"/>
      <c r="P45" s="42"/>
      <c r="Q45" s="42"/>
      <c r="R45" s="42"/>
      <c r="S45" s="42"/>
      <c r="T45" s="42"/>
      <c r="U45" s="42"/>
      <c r="V45" s="42"/>
      <c r="W45" s="42"/>
      <c r="X45" s="42"/>
      <c r="Y45" s="42"/>
      <c r="Z45" s="42"/>
      <c r="AA45" s="42"/>
      <c r="AB45" s="121"/>
      <c r="AC45" s="122"/>
      <c r="AD45" s="122"/>
      <c r="AE45" s="120"/>
    </row>
    <row r="46" spans="2:31" ht="28.5" customHeight="1">
      <c r="B46" s="2" t="s">
        <v>99</v>
      </c>
      <c r="C46" s="13" t="s">
        <v>100</v>
      </c>
      <c r="D46" s="124">
        <v>457000</v>
      </c>
      <c r="E46" s="124">
        <v>457000</v>
      </c>
      <c r="F46" s="124">
        <v>457000</v>
      </c>
      <c r="G46" s="42"/>
      <c r="H46" s="42"/>
      <c r="I46" s="42"/>
      <c r="J46" s="42"/>
      <c r="K46" s="42"/>
      <c r="L46" s="42"/>
      <c r="M46" s="42"/>
      <c r="N46" s="42"/>
      <c r="O46" s="42"/>
      <c r="P46" s="42"/>
      <c r="Q46" s="42"/>
      <c r="R46" s="42"/>
      <c r="S46" s="42"/>
      <c r="T46" s="42"/>
      <c r="U46" s="42"/>
      <c r="V46" s="42"/>
      <c r="W46" s="42"/>
      <c r="X46" s="42"/>
      <c r="Y46" s="42"/>
      <c r="Z46" s="42"/>
      <c r="AA46" s="42"/>
      <c r="AB46" s="121"/>
      <c r="AC46" s="122"/>
      <c r="AD46" s="122"/>
      <c r="AE46" s="120"/>
    </row>
    <row r="47" spans="2:31" ht="28.5" customHeight="1">
      <c r="B47" s="2" t="s">
        <v>101</v>
      </c>
      <c r="C47" s="13" t="s">
        <v>102</v>
      </c>
      <c r="D47" s="124">
        <v>90712.1</v>
      </c>
      <c r="E47" s="124">
        <v>88383.1</v>
      </c>
      <c r="F47" s="124">
        <v>85953.1</v>
      </c>
      <c r="G47" s="42"/>
      <c r="H47" s="42"/>
      <c r="I47" s="42"/>
      <c r="J47" s="42"/>
      <c r="K47" s="42"/>
      <c r="L47" s="42"/>
      <c r="M47" s="124">
        <v>7535.54</v>
      </c>
      <c r="N47" s="44"/>
      <c r="O47" s="42"/>
      <c r="P47" s="42"/>
      <c r="Q47" s="124">
        <v>98247.64</v>
      </c>
      <c r="R47" s="42"/>
      <c r="S47" s="42"/>
      <c r="T47" s="42"/>
      <c r="U47" s="42"/>
      <c r="V47" s="42"/>
      <c r="W47" s="42"/>
      <c r="X47" s="42"/>
      <c r="Y47" s="42"/>
      <c r="Z47" s="42"/>
      <c r="AA47" s="42"/>
      <c r="AB47" s="121"/>
      <c r="AC47" s="122"/>
      <c r="AD47" s="122"/>
      <c r="AE47" s="120"/>
    </row>
    <row r="48" spans="2:31" ht="28.5" customHeight="1">
      <c r="B48" s="2" t="s">
        <v>103</v>
      </c>
      <c r="C48" s="13" t="s">
        <v>104</v>
      </c>
      <c r="D48" s="124">
        <v>0</v>
      </c>
      <c r="E48" s="124">
        <v>0</v>
      </c>
      <c r="F48" s="124">
        <v>0</v>
      </c>
      <c r="G48" s="42"/>
      <c r="H48" s="42"/>
      <c r="I48" s="42"/>
      <c r="J48" s="42"/>
      <c r="K48" s="42"/>
      <c r="L48" s="42"/>
      <c r="M48" s="124">
        <v>0</v>
      </c>
      <c r="N48" s="42"/>
      <c r="O48" s="42"/>
      <c r="P48" s="42"/>
      <c r="Q48" s="124">
        <v>0</v>
      </c>
      <c r="R48" s="42"/>
      <c r="S48" s="42"/>
      <c r="T48" s="42"/>
      <c r="U48" s="42"/>
      <c r="V48" s="42"/>
      <c r="W48" s="42"/>
      <c r="X48" s="42"/>
      <c r="Y48" s="42"/>
      <c r="Z48" s="42"/>
      <c r="AA48" s="42"/>
      <c r="AB48" s="121"/>
      <c r="AC48" s="122"/>
      <c r="AD48" s="122"/>
      <c r="AE48" s="120"/>
    </row>
    <row r="49" spans="2:31" ht="28.5" customHeight="1">
      <c r="B49" s="2" t="s">
        <v>105</v>
      </c>
      <c r="C49" s="13" t="s">
        <v>106</v>
      </c>
      <c r="D49" s="124">
        <v>0</v>
      </c>
      <c r="E49" s="124">
        <v>0</v>
      </c>
      <c r="F49" s="124">
        <v>0</v>
      </c>
      <c r="G49" s="42"/>
      <c r="H49" s="42"/>
      <c r="I49" s="42"/>
      <c r="J49" s="42"/>
      <c r="K49" s="42"/>
      <c r="L49" s="42"/>
      <c r="M49" s="124">
        <v>0</v>
      </c>
      <c r="N49" s="42"/>
      <c r="O49" s="42"/>
      <c r="P49" s="42"/>
      <c r="Q49" s="124">
        <v>0</v>
      </c>
      <c r="R49" s="42"/>
      <c r="S49" s="42"/>
      <c r="T49" s="42"/>
      <c r="U49" s="42"/>
      <c r="V49" s="42"/>
      <c r="W49" s="42"/>
      <c r="X49" s="42"/>
      <c r="Y49" s="42"/>
      <c r="Z49" s="42"/>
      <c r="AA49" s="42"/>
      <c r="AB49" s="121"/>
      <c r="AC49" s="122"/>
      <c r="AD49" s="122"/>
      <c r="AE49" s="120"/>
    </row>
    <row r="50" spans="2:31" ht="15" customHeight="1">
      <c r="B50" s="2" t="s">
        <v>107</v>
      </c>
      <c r="C50" s="13" t="s">
        <v>108</v>
      </c>
      <c r="D50" s="124">
        <v>49214.52</v>
      </c>
      <c r="E50" s="124">
        <v>53110.62</v>
      </c>
      <c r="F50" s="124">
        <v>55784.83</v>
      </c>
      <c r="G50" s="42"/>
      <c r="H50" s="42"/>
      <c r="I50" s="42"/>
      <c r="J50" s="42"/>
      <c r="K50" s="42"/>
      <c r="L50" s="42"/>
      <c r="M50" s="42"/>
      <c r="N50" s="42"/>
      <c r="O50" s="42"/>
      <c r="P50" s="42"/>
      <c r="Q50" s="42"/>
      <c r="R50" s="42"/>
      <c r="S50" s="42"/>
      <c r="T50" s="42"/>
      <c r="U50" s="42"/>
      <c r="V50" s="42"/>
      <c r="W50" s="42"/>
      <c r="X50" s="42"/>
      <c r="Y50" s="42"/>
      <c r="Z50" s="42"/>
      <c r="AA50" s="42"/>
      <c r="AB50" s="121"/>
      <c r="AC50" s="122"/>
      <c r="AD50" s="122"/>
      <c r="AE50" s="120"/>
    </row>
    <row r="51" spans="2:31" ht="15" customHeight="1">
      <c r="B51" s="2" t="s">
        <v>109</v>
      </c>
      <c r="C51" s="13" t="s">
        <v>110</v>
      </c>
      <c r="D51" s="124">
        <v>100</v>
      </c>
      <c r="E51" s="124">
        <v>0</v>
      </c>
      <c r="F51" s="124">
        <v>0</v>
      </c>
      <c r="G51" s="42"/>
      <c r="H51" s="42"/>
      <c r="I51" s="42"/>
      <c r="J51" s="42"/>
      <c r="K51" s="42"/>
      <c r="L51" s="42"/>
      <c r="M51" s="42"/>
      <c r="N51" s="42"/>
      <c r="O51" s="42"/>
      <c r="P51" s="42"/>
      <c r="Q51" s="42"/>
      <c r="R51" s="42"/>
      <c r="S51" s="42"/>
      <c r="T51" s="42"/>
      <c r="U51" s="42"/>
      <c r="V51" s="42"/>
      <c r="W51" s="42"/>
      <c r="X51" s="42"/>
      <c r="Y51" s="42"/>
      <c r="Z51" s="42"/>
      <c r="AA51" s="42"/>
      <c r="AB51" s="121"/>
      <c r="AC51" s="122"/>
      <c r="AD51" s="122"/>
      <c r="AE51" s="120"/>
    </row>
    <row r="52" spans="2:31" ht="15" customHeight="1">
      <c r="B52" s="2" t="s">
        <v>111</v>
      </c>
      <c r="C52" s="13" t="s">
        <v>112</v>
      </c>
      <c r="D52" s="124">
        <v>0</v>
      </c>
      <c r="E52" s="124">
        <v>0</v>
      </c>
      <c r="F52" s="124">
        <v>0</v>
      </c>
      <c r="G52" s="42"/>
      <c r="H52" s="42"/>
      <c r="I52" s="42"/>
      <c r="J52" s="42"/>
      <c r="K52" s="42"/>
      <c r="L52" s="42"/>
      <c r="M52" s="42"/>
      <c r="N52" s="42"/>
      <c r="O52" s="42"/>
      <c r="P52" s="42"/>
      <c r="Q52" s="42"/>
      <c r="R52" s="42"/>
      <c r="S52" s="42"/>
      <c r="T52" s="42"/>
      <c r="U52" s="42"/>
      <c r="V52" s="42"/>
      <c r="W52" s="42"/>
      <c r="X52" s="42"/>
      <c r="Y52" s="42"/>
      <c r="Z52" s="42"/>
      <c r="AA52" s="42"/>
      <c r="AB52" s="121"/>
      <c r="AC52" s="122"/>
      <c r="AD52" s="122"/>
      <c r="AE52" s="120"/>
    </row>
    <row r="53" spans="1:30" ht="28.5" customHeight="1">
      <c r="A53" s="2" t="s">
        <v>113</v>
      </c>
      <c r="B53" s="2" t="s">
        <v>114</v>
      </c>
      <c r="C53" s="13" t="s">
        <v>115</v>
      </c>
      <c r="D53" s="124">
        <v>331823.39</v>
      </c>
      <c r="E53" s="124">
        <v>354088.72</v>
      </c>
      <c r="F53" s="124">
        <v>365309.66</v>
      </c>
      <c r="G53" s="42"/>
      <c r="H53" s="42"/>
      <c r="I53" s="42"/>
      <c r="J53" s="42"/>
      <c r="K53" s="42"/>
      <c r="L53" s="42"/>
      <c r="M53" s="42"/>
      <c r="N53" s="42"/>
      <c r="O53" s="42"/>
      <c r="P53" s="42"/>
      <c r="Q53" s="42"/>
      <c r="R53" s="42"/>
      <c r="S53" s="42"/>
      <c r="T53" s="42"/>
      <c r="U53" s="42"/>
      <c r="V53" s="42"/>
      <c r="W53" s="42"/>
      <c r="X53" s="42"/>
      <c r="Y53" s="42"/>
      <c r="Z53" s="42"/>
      <c r="AA53" s="42"/>
      <c r="AB53" s="121"/>
      <c r="AC53" s="121"/>
      <c r="AD53" s="121"/>
    </row>
    <row r="54" spans="2:30" ht="14.25" customHeight="1">
      <c r="B54" s="2" t="s">
        <v>116</v>
      </c>
      <c r="C54" s="13" t="s">
        <v>117</v>
      </c>
      <c r="D54" s="124">
        <v>4370810.21</v>
      </c>
      <c r="E54" s="124">
        <v>2053720</v>
      </c>
      <c r="F54" s="124">
        <v>933220</v>
      </c>
      <c r="G54" s="42"/>
      <c r="H54" s="42"/>
      <c r="I54" s="42"/>
      <c r="J54" s="42"/>
      <c r="K54" s="42"/>
      <c r="L54" s="42"/>
      <c r="M54" s="42"/>
      <c r="N54" s="42"/>
      <c r="O54" s="42"/>
      <c r="P54" s="42"/>
      <c r="Q54" s="42"/>
      <c r="R54" s="42"/>
      <c r="S54" s="42"/>
      <c r="T54" s="42"/>
      <c r="U54" s="42"/>
      <c r="V54" s="42"/>
      <c r="W54" s="42"/>
      <c r="X54" s="42"/>
      <c r="Y54" s="42"/>
      <c r="Z54" s="42"/>
      <c r="AA54" s="42"/>
      <c r="AB54" s="121"/>
      <c r="AC54" s="121"/>
      <c r="AD54" s="121"/>
    </row>
    <row r="55" spans="2:30" ht="28.5" customHeight="1">
      <c r="B55" s="2" t="s">
        <v>118</v>
      </c>
      <c r="C55" s="13" t="s">
        <v>119</v>
      </c>
      <c r="D55" s="124">
        <v>4370810.21</v>
      </c>
      <c r="E55" s="124">
        <v>2053720</v>
      </c>
      <c r="F55" s="124">
        <v>933220</v>
      </c>
      <c r="G55" s="42"/>
      <c r="H55" s="42"/>
      <c r="I55" s="42"/>
      <c r="J55" s="42"/>
      <c r="K55" s="42"/>
      <c r="L55" s="42"/>
      <c r="M55" s="42"/>
      <c r="N55" s="42"/>
      <c r="O55" s="42"/>
      <c r="P55" s="42"/>
      <c r="Q55" s="42"/>
      <c r="R55" s="42"/>
      <c r="S55" s="42"/>
      <c r="T55" s="42"/>
      <c r="U55" s="42"/>
      <c r="V55" s="42"/>
      <c r="W55" s="42"/>
      <c r="X55" s="42"/>
      <c r="Y55" s="42"/>
      <c r="Z55" s="42"/>
      <c r="AA55" s="42"/>
      <c r="AB55" s="121"/>
      <c r="AC55" s="121"/>
      <c r="AD55" s="121"/>
    </row>
    <row r="56" spans="2:30" ht="28.5" customHeight="1">
      <c r="B56" s="2" t="s">
        <v>120</v>
      </c>
      <c r="C56" s="13" t="s">
        <v>121</v>
      </c>
      <c r="D56" s="124">
        <v>4281110.21</v>
      </c>
      <c r="E56" s="124">
        <v>2031520</v>
      </c>
      <c r="F56" s="124">
        <v>911020</v>
      </c>
      <c r="G56" s="42"/>
      <c r="H56" s="42"/>
      <c r="I56" s="42"/>
      <c r="J56" s="42"/>
      <c r="K56" s="42"/>
      <c r="L56" s="42"/>
      <c r="M56" s="124">
        <v>3319794.42</v>
      </c>
      <c r="N56" s="42"/>
      <c r="O56" s="42"/>
      <c r="P56" s="42"/>
      <c r="Q56" s="124">
        <v>7600904.63</v>
      </c>
      <c r="R56" s="42"/>
      <c r="S56" s="42"/>
      <c r="T56" s="42"/>
      <c r="U56" s="42"/>
      <c r="V56" s="42"/>
      <c r="W56" s="42"/>
      <c r="X56" s="42"/>
      <c r="Y56" s="42"/>
      <c r="Z56" s="42"/>
      <c r="AA56" s="42"/>
      <c r="AB56" s="127">
        <v>139419.01</v>
      </c>
      <c r="AC56" s="127">
        <v>0</v>
      </c>
      <c r="AD56" s="127">
        <v>0</v>
      </c>
    </row>
    <row r="57" spans="2:30" ht="14.25" customHeight="1">
      <c r="B57" s="2" t="s">
        <v>122</v>
      </c>
      <c r="C57" s="13" t="s">
        <v>123</v>
      </c>
      <c r="D57" s="124">
        <v>4281110.21</v>
      </c>
      <c r="E57" s="124">
        <v>2031520</v>
      </c>
      <c r="F57" s="124">
        <v>911020</v>
      </c>
      <c r="G57" s="42"/>
      <c r="H57" s="42"/>
      <c r="I57" s="42"/>
      <c r="J57" s="42"/>
      <c r="K57" s="42"/>
      <c r="L57" s="42"/>
      <c r="M57" s="124">
        <v>3319794.42</v>
      </c>
      <c r="N57" s="42"/>
      <c r="O57" s="42"/>
      <c r="P57" s="42"/>
      <c r="Q57" s="124">
        <v>7600904.63</v>
      </c>
      <c r="R57" s="42"/>
      <c r="S57" s="42"/>
      <c r="T57" s="42"/>
      <c r="U57" s="42"/>
      <c r="V57" s="42"/>
      <c r="W57" s="42"/>
      <c r="X57" s="42"/>
      <c r="Y57" s="42"/>
      <c r="Z57" s="42"/>
      <c r="AA57" s="42"/>
      <c r="AB57" s="121"/>
      <c r="AC57" s="121"/>
      <c r="AD57" s="121"/>
    </row>
    <row r="58" spans="2:30" ht="28.5" customHeight="1">
      <c r="B58" s="2" t="s">
        <v>124</v>
      </c>
      <c r="C58" s="13" t="s">
        <v>125</v>
      </c>
      <c r="D58" s="124">
        <v>89700</v>
      </c>
      <c r="E58" s="124">
        <v>22200</v>
      </c>
      <c r="F58" s="124">
        <v>22200</v>
      </c>
      <c r="G58" s="42"/>
      <c r="H58" s="42"/>
      <c r="I58" s="42"/>
      <c r="J58" s="42"/>
      <c r="K58" s="42"/>
      <c r="L58" s="42"/>
      <c r="M58" s="42"/>
      <c r="N58" s="42"/>
      <c r="O58" s="42"/>
      <c r="P58" s="42"/>
      <c r="Q58" s="42"/>
      <c r="R58" s="42"/>
      <c r="S58" s="42"/>
      <c r="T58" s="42"/>
      <c r="U58" s="42"/>
      <c r="V58" s="42"/>
      <c r="W58" s="42"/>
      <c r="X58" s="42"/>
      <c r="Y58" s="42"/>
      <c r="Z58" s="42"/>
      <c r="AA58" s="42"/>
      <c r="AB58" s="127">
        <v>0</v>
      </c>
      <c r="AC58" s="127">
        <v>0</v>
      </c>
      <c r="AD58" s="127">
        <v>0</v>
      </c>
    </row>
    <row r="59" spans="2:30" ht="14.25" customHeight="1">
      <c r="B59" s="2" t="s">
        <v>126</v>
      </c>
      <c r="C59" s="13" t="s">
        <v>127</v>
      </c>
      <c r="D59" s="124">
        <v>89700</v>
      </c>
      <c r="E59" s="124">
        <v>22200</v>
      </c>
      <c r="F59" s="124">
        <v>22200</v>
      </c>
      <c r="G59" s="42"/>
      <c r="H59" s="42"/>
      <c r="I59" s="42"/>
      <c r="J59" s="42"/>
      <c r="K59" s="42"/>
      <c r="L59" s="42"/>
      <c r="M59" s="42"/>
      <c r="N59" s="42"/>
      <c r="O59" s="42"/>
      <c r="P59" s="42"/>
      <c r="Q59" s="42"/>
      <c r="R59" s="42"/>
      <c r="S59" s="42"/>
      <c r="T59" s="42"/>
      <c r="U59" s="42"/>
      <c r="V59" s="42"/>
      <c r="W59" s="42"/>
      <c r="X59" s="42"/>
      <c r="Y59" s="42"/>
      <c r="Z59" s="42"/>
      <c r="AA59" s="42"/>
      <c r="AB59" s="121"/>
      <c r="AC59" s="121"/>
      <c r="AD59" s="121"/>
    </row>
    <row r="60" spans="2:30" ht="14.25" customHeight="1">
      <c r="B60" s="2" t="s">
        <v>128</v>
      </c>
      <c r="C60" s="13" t="s">
        <v>129</v>
      </c>
      <c r="D60" s="124">
        <v>67500</v>
      </c>
      <c r="E60" s="124">
        <v>0</v>
      </c>
      <c r="F60" s="124">
        <v>0</v>
      </c>
      <c r="G60" s="42"/>
      <c r="H60" s="42"/>
      <c r="I60" s="42"/>
      <c r="J60" s="42"/>
      <c r="K60" s="42"/>
      <c r="L60" s="42"/>
      <c r="M60" s="124">
        <v>0</v>
      </c>
      <c r="N60" s="42"/>
      <c r="O60" s="42"/>
      <c r="P60" s="42"/>
      <c r="Q60" s="124">
        <v>67500</v>
      </c>
      <c r="R60" s="42"/>
      <c r="S60" s="42"/>
      <c r="T60" s="42"/>
      <c r="U60" s="42"/>
      <c r="V60" s="42"/>
      <c r="W60" s="42"/>
      <c r="X60" s="42"/>
      <c r="Y60" s="42"/>
      <c r="Z60" s="42"/>
      <c r="AA60" s="42"/>
      <c r="AB60" s="121"/>
      <c r="AC60" s="121"/>
      <c r="AD60" s="121"/>
    </row>
    <row r="61" spans="2:30" ht="24" customHeight="1">
      <c r="B61" s="2" t="s">
        <v>130</v>
      </c>
      <c r="C61" s="13" t="s">
        <v>131</v>
      </c>
      <c r="D61" s="124">
        <v>0</v>
      </c>
      <c r="E61" s="124">
        <v>0</v>
      </c>
      <c r="F61" s="124">
        <v>0</v>
      </c>
      <c r="G61" s="42"/>
      <c r="H61" s="42"/>
      <c r="I61" s="42"/>
      <c r="J61" s="42"/>
      <c r="K61" s="42"/>
      <c r="L61" s="42"/>
      <c r="M61" s="124">
        <v>0</v>
      </c>
      <c r="N61" s="42"/>
      <c r="O61" s="42"/>
      <c r="P61" s="42"/>
      <c r="Q61" s="124">
        <v>0</v>
      </c>
      <c r="R61" s="42"/>
      <c r="S61" s="42"/>
      <c r="T61" s="42"/>
      <c r="U61" s="42"/>
      <c r="V61" s="42"/>
      <c r="W61" s="42"/>
      <c r="X61" s="42"/>
      <c r="Y61" s="42"/>
      <c r="Z61" s="42"/>
      <c r="AA61" s="42"/>
      <c r="AB61" s="121"/>
      <c r="AC61" s="121"/>
      <c r="AD61" s="121"/>
    </row>
    <row r="62" spans="2:30" ht="24" customHeight="1">
      <c r="B62" s="2" t="s">
        <v>132</v>
      </c>
      <c r="C62" s="13" t="s">
        <v>133</v>
      </c>
      <c r="D62" s="124">
        <v>0</v>
      </c>
      <c r="E62" s="124">
        <v>0</v>
      </c>
      <c r="F62" s="124">
        <v>0</v>
      </c>
      <c r="G62" s="42"/>
      <c r="H62" s="42"/>
      <c r="I62" s="42"/>
      <c r="J62" s="42"/>
      <c r="K62" s="42"/>
      <c r="L62" s="42"/>
      <c r="M62" s="124">
        <v>0</v>
      </c>
      <c r="N62" s="42"/>
      <c r="O62" s="42"/>
      <c r="P62" s="42"/>
      <c r="Q62" s="124">
        <v>0</v>
      </c>
      <c r="R62" s="42"/>
      <c r="S62" s="42"/>
      <c r="T62" s="42"/>
      <c r="U62" s="42"/>
      <c r="V62" s="42"/>
      <c r="W62" s="42"/>
      <c r="X62" s="42"/>
      <c r="Y62" s="42"/>
      <c r="Z62" s="42"/>
      <c r="AA62" s="42"/>
      <c r="AB62" s="121"/>
      <c r="AC62" s="121"/>
      <c r="AD62" s="121"/>
    </row>
    <row r="63" spans="2:30" ht="24" customHeight="1">
      <c r="B63" s="2" t="s">
        <v>134</v>
      </c>
      <c r="C63" s="13" t="s">
        <v>135</v>
      </c>
      <c r="D63" s="124">
        <v>0</v>
      </c>
      <c r="E63" s="124">
        <v>0</v>
      </c>
      <c r="F63" s="124">
        <v>0</v>
      </c>
      <c r="G63" s="42"/>
      <c r="H63" s="42"/>
      <c r="I63" s="42"/>
      <c r="J63" s="42"/>
      <c r="K63" s="42"/>
      <c r="L63" s="42"/>
      <c r="M63" s="124">
        <v>0</v>
      </c>
      <c r="N63" s="42"/>
      <c r="O63" s="42"/>
      <c r="P63" s="42"/>
      <c r="Q63" s="124">
        <v>0</v>
      </c>
      <c r="R63" s="42"/>
      <c r="S63" s="42"/>
      <c r="T63" s="42"/>
      <c r="U63" s="42"/>
      <c r="V63" s="42"/>
      <c r="W63" s="42"/>
      <c r="X63" s="42"/>
      <c r="Y63" s="42"/>
      <c r="Z63" s="42"/>
      <c r="AA63" s="42"/>
      <c r="AB63" s="121"/>
      <c r="AC63" s="121"/>
      <c r="AD63" s="121"/>
    </row>
    <row r="64" spans="2:30" ht="24" customHeight="1">
      <c r="B64" s="2" t="s">
        <v>136</v>
      </c>
      <c r="C64" s="13" t="s">
        <v>137</v>
      </c>
      <c r="D64" s="124">
        <v>0</v>
      </c>
      <c r="E64" s="124">
        <v>0</v>
      </c>
      <c r="F64" s="124">
        <v>0</v>
      </c>
      <c r="G64" s="42"/>
      <c r="H64" s="42"/>
      <c r="I64" s="42"/>
      <c r="J64" s="42"/>
      <c r="K64" s="42"/>
      <c r="L64" s="42"/>
      <c r="M64" s="124">
        <v>0</v>
      </c>
      <c r="N64" s="42"/>
      <c r="O64" s="42"/>
      <c r="P64" s="42"/>
      <c r="Q64" s="124">
        <v>0</v>
      </c>
      <c r="R64" s="42"/>
      <c r="S64" s="42"/>
      <c r="T64" s="42"/>
      <c r="U64" s="42"/>
      <c r="V64" s="42"/>
      <c r="W64" s="42"/>
      <c r="X64" s="42"/>
      <c r="Y64" s="42"/>
      <c r="Z64" s="42"/>
      <c r="AA64" s="42"/>
      <c r="AB64" s="121"/>
      <c r="AC64" s="121"/>
      <c r="AD64" s="121"/>
    </row>
    <row r="65" spans="2:30" ht="14.25" customHeight="1">
      <c r="B65" s="2" t="s">
        <v>138</v>
      </c>
      <c r="C65" s="13" t="s">
        <v>139</v>
      </c>
      <c r="D65" s="124">
        <v>0</v>
      </c>
      <c r="E65" s="124">
        <v>0</v>
      </c>
      <c r="F65" s="124">
        <v>0</v>
      </c>
      <c r="G65" s="42"/>
      <c r="H65" s="42"/>
      <c r="I65" s="42"/>
      <c r="J65" s="42"/>
      <c r="K65" s="42"/>
      <c r="L65" s="42"/>
      <c r="M65" s="42"/>
      <c r="N65" s="42"/>
      <c r="O65" s="42"/>
      <c r="P65" s="42"/>
      <c r="Q65" s="42"/>
      <c r="R65" s="42"/>
      <c r="S65" s="42"/>
      <c r="T65" s="42"/>
      <c r="U65" s="42"/>
      <c r="V65" s="42"/>
      <c r="W65" s="42"/>
      <c r="X65" s="42"/>
      <c r="Y65" s="42"/>
      <c r="Z65" s="42"/>
      <c r="AA65" s="42"/>
      <c r="AB65" s="121"/>
      <c r="AC65" s="121"/>
      <c r="AD65" s="121"/>
    </row>
    <row r="66" spans="2:30" ht="14.25" customHeight="1">
      <c r="B66" s="2" t="s">
        <v>140</v>
      </c>
      <c r="C66" s="13" t="s">
        <v>141</v>
      </c>
      <c r="D66" s="124">
        <v>238976.9</v>
      </c>
      <c r="E66" s="124">
        <v>253197.13</v>
      </c>
      <c r="F66" s="124">
        <v>267744.5</v>
      </c>
      <c r="G66" s="42"/>
      <c r="H66" s="42"/>
      <c r="I66" s="42"/>
      <c r="J66" s="42"/>
      <c r="K66" s="42"/>
      <c r="L66" s="42"/>
      <c r="M66" s="42"/>
      <c r="N66" s="42"/>
      <c r="O66" s="42"/>
      <c r="P66" s="42"/>
      <c r="Q66" s="42"/>
      <c r="R66" s="42"/>
      <c r="S66" s="42"/>
      <c r="T66" s="42"/>
      <c r="U66" s="42"/>
      <c r="V66" s="127">
        <v>266950.14</v>
      </c>
      <c r="W66" s="127">
        <v>274808.17</v>
      </c>
      <c r="X66" s="127">
        <v>275230.56</v>
      </c>
      <c r="Y66" s="127">
        <v>266950.14</v>
      </c>
      <c r="Z66" s="127">
        <v>274808.17</v>
      </c>
      <c r="AA66" s="127">
        <v>275230.56</v>
      </c>
      <c r="AB66" s="121"/>
      <c r="AC66" s="121"/>
      <c r="AD66" s="121"/>
    </row>
    <row r="67" spans="2:30" ht="14.25" customHeight="1">
      <c r="B67" s="2" t="s">
        <v>142</v>
      </c>
      <c r="C67" s="13" t="s">
        <v>53</v>
      </c>
      <c r="D67" s="124">
        <v>3812000</v>
      </c>
      <c r="E67" s="124">
        <v>2212000</v>
      </c>
      <c r="F67" s="124">
        <v>2212000</v>
      </c>
      <c r="G67" s="42"/>
      <c r="H67" s="42"/>
      <c r="I67" s="42"/>
      <c r="J67" s="42"/>
      <c r="K67" s="42"/>
      <c r="L67" s="42"/>
      <c r="M67" s="42"/>
      <c r="N67" s="42"/>
      <c r="O67" s="42"/>
      <c r="P67" s="42"/>
      <c r="Q67" s="42"/>
      <c r="R67" s="42"/>
      <c r="S67" s="42"/>
      <c r="T67" s="42"/>
      <c r="U67" s="42"/>
      <c r="V67" s="42"/>
      <c r="W67" s="42"/>
      <c r="X67" s="42"/>
      <c r="Y67" s="42"/>
      <c r="Z67" s="42"/>
      <c r="AA67" s="42"/>
      <c r="AB67" s="121"/>
      <c r="AC67" s="121"/>
      <c r="AD67" s="121"/>
    </row>
    <row r="68" spans="2:30" ht="14.25" customHeight="1">
      <c r="B68" s="2" t="s">
        <v>143</v>
      </c>
      <c r="C68" s="13" t="s">
        <v>144</v>
      </c>
      <c r="D68" s="124">
        <v>0</v>
      </c>
      <c r="E68" s="124">
        <v>0</v>
      </c>
      <c r="F68" s="124">
        <v>0</v>
      </c>
      <c r="G68" s="42"/>
      <c r="H68" s="42"/>
      <c r="I68" s="42"/>
      <c r="J68" s="42"/>
      <c r="K68" s="42"/>
      <c r="L68" s="42"/>
      <c r="M68" s="42"/>
      <c r="N68" s="42"/>
      <c r="O68" s="42"/>
      <c r="P68" s="42"/>
      <c r="Q68" s="42"/>
      <c r="R68" s="42"/>
      <c r="S68" s="42"/>
      <c r="T68" s="42"/>
      <c r="U68" s="42"/>
      <c r="V68" s="42"/>
      <c r="W68" s="42"/>
      <c r="X68" s="42"/>
      <c r="Y68" s="42"/>
      <c r="Z68" s="42"/>
      <c r="AA68" s="42"/>
      <c r="AB68" s="121"/>
      <c r="AC68" s="121"/>
      <c r="AD68" s="121"/>
    </row>
    <row r="69" spans="2:30" ht="14.25" customHeight="1">
      <c r="B69" s="2" t="s">
        <v>145</v>
      </c>
      <c r="C69" s="14" t="s">
        <v>146</v>
      </c>
      <c r="D69" s="41"/>
      <c r="E69" s="42"/>
      <c r="F69" s="42"/>
      <c r="G69" s="42"/>
      <c r="H69" s="42"/>
      <c r="I69" s="42"/>
      <c r="J69" s="42"/>
      <c r="K69" s="42"/>
      <c r="L69" s="42"/>
      <c r="M69" s="42"/>
      <c r="N69" s="42"/>
      <c r="O69" s="42"/>
      <c r="P69" s="42"/>
      <c r="Q69" s="42"/>
      <c r="R69" s="124">
        <v>2204380.29</v>
      </c>
      <c r="S69" s="127">
        <v>1974506.78</v>
      </c>
      <c r="T69" s="127">
        <v>1699276.22</v>
      </c>
      <c r="U69" s="42"/>
      <c r="V69" s="42"/>
      <c r="W69" s="42"/>
      <c r="X69" s="42"/>
      <c r="Y69" s="42"/>
      <c r="Z69" s="42"/>
      <c r="AA69" s="42"/>
      <c r="AB69" s="121"/>
      <c r="AC69" s="121"/>
      <c r="AD69" s="121"/>
    </row>
    <row r="70" spans="2:30" ht="14.25" customHeight="1">
      <c r="B70" s="2" t="s">
        <v>145</v>
      </c>
      <c r="C70" s="14" t="s">
        <v>147</v>
      </c>
      <c r="D70" s="124">
        <v>0</v>
      </c>
      <c r="E70" s="52"/>
      <c r="F70" s="52"/>
      <c r="G70" s="42"/>
      <c r="H70" s="42"/>
      <c r="I70" s="42"/>
      <c r="J70" s="42"/>
      <c r="K70" s="42"/>
      <c r="L70" s="42"/>
      <c r="M70" s="42"/>
      <c r="N70" s="42"/>
      <c r="O70" s="42"/>
      <c r="P70" s="42"/>
      <c r="Q70" s="42"/>
      <c r="R70" s="42"/>
      <c r="S70" s="42"/>
      <c r="T70" s="42"/>
      <c r="U70" s="42"/>
      <c r="V70" s="42"/>
      <c r="W70" s="42"/>
      <c r="X70" s="42"/>
      <c r="Y70" s="42"/>
      <c r="Z70" s="42"/>
      <c r="AA70" s="42"/>
      <c r="AB70" s="121"/>
      <c r="AC70" s="121"/>
      <c r="AD70" s="121"/>
    </row>
    <row r="71" spans="2:30" ht="14.25" customHeight="1">
      <c r="B71" s="2" t="s">
        <v>145</v>
      </c>
      <c r="C71" s="14" t="s">
        <v>148</v>
      </c>
      <c r="D71" s="41"/>
      <c r="E71" s="42"/>
      <c r="F71" s="42"/>
      <c r="G71" s="42"/>
      <c r="H71" s="42"/>
      <c r="I71" s="42"/>
      <c r="J71" s="42"/>
      <c r="K71" s="42"/>
      <c r="L71" s="42"/>
      <c r="M71" s="42"/>
      <c r="N71" s="42"/>
      <c r="O71" s="42"/>
      <c r="P71" s="124">
        <v>13655</v>
      </c>
      <c r="Q71" s="42"/>
      <c r="R71" s="42"/>
      <c r="S71" s="42"/>
      <c r="T71" s="42"/>
      <c r="U71" s="42"/>
      <c r="V71" s="42"/>
      <c r="W71" s="42"/>
      <c r="X71" s="42"/>
      <c r="Y71" s="42"/>
      <c r="Z71" s="42"/>
      <c r="AA71" s="42"/>
      <c r="AB71" s="121"/>
      <c r="AC71" s="121"/>
      <c r="AD71" s="121"/>
    </row>
    <row r="72" spans="2:30" ht="14.25" customHeight="1">
      <c r="B72" s="2" t="s">
        <v>145</v>
      </c>
      <c r="C72" s="14" t="s">
        <v>149</v>
      </c>
      <c r="D72" s="42"/>
      <c r="E72" s="42"/>
      <c r="F72" s="42"/>
      <c r="G72" s="42"/>
      <c r="H72" s="42"/>
      <c r="I72" s="42"/>
      <c r="J72" s="42"/>
      <c r="K72" s="42"/>
      <c r="L72" s="42"/>
      <c r="M72" s="42"/>
      <c r="N72" s="42"/>
      <c r="O72" s="42"/>
      <c r="P72" s="42"/>
      <c r="Q72" s="42"/>
      <c r="R72" s="42"/>
      <c r="S72" s="42"/>
      <c r="T72" s="42"/>
      <c r="U72" s="124">
        <v>26442769.73</v>
      </c>
      <c r="V72" s="42"/>
      <c r="W72" s="42"/>
      <c r="X72" s="42"/>
      <c r="Y72" s="42"/>
      <c r="Z72" s="42"/>
      <c r="AA72" s="42"/>
      <c r="AB72" s="121"/>
      <c r="AC72" s="121"/>
      <c r="AD72" s="121"/>
    </row>
    <row r="73" spans="2:6" ht="14.25" customHeight="1">
      <c r="B73" s="2" t="s">
        <v>819</v>
      </c>
      <c r="C73" s="13" t="s">
        <v>820</v>
      </c>
      <c r="D73" s="124">
        <v>0</v>
      </c>
      <c r="E73" s="124">
        <v>0</v>
      </c>
      <c r="F73" s="124">
        <v>0</v>
      </c>
    </row>
    <row r="74" spans="1:17" ht="14.25" customHeight="1">
      <c r="A74" s="132" t="s">
        <v>150</v>
      </c>
      <c r="B74" s="132"/>
      <c r="C74" s="132"/>
      <c r="D74" s="132"/>
      <c r="E74" s="132"/>
      <c r="F74" s="132"/>
      <c r="G74" s="132"/>
      <c r="H74" s="132"/>
      <c r="I74" s="132"/>
      <c r="J74" s="132"/>
      <c r="K74" s="132"/>
      <c r="L74" s="132"/>
      <c r="M74" s="132"/>
      <c r="N74" s="132"/>
      <c r="O74" s="132"/>
      <c r="P74" s="132"/>
      <c r="Q74" s="132"/>
    </row>
    <row r="75" spans="1:17" ht="14.25" customHeight="1">
      <c r="A75" s="132"/>
      <c r="B75" s="132"/>
      <c r="C75" s="132"/>
      <c r="D75" s="132"/>
      <c r="E75" s="132"/>
      <c r="F75" s="132"/>
      <c r="G75" s="132"/>
      <c r="H75" s="132"/>
      <c r="I75" s="132"/>
      <c r="J75" s="132"/>
      <c r="K75" s="132"/>
      <c r="L75" s="132"/>
      <c r="M75" s="132"/>
      <c r="N75" s="132"/>
      <c r="O75" s="132"/>
      <c r="P75" s="132"/>
      <c r="Q75" s="132"/>
    </row>
    <row r="76" spans="3:15" ht="14.25" customHeight="1">
      <c r="C76" s="15"/>
      <c r="D76" s="4" t="s">
        <v>1</v>
      </c>
      <c r="E76" s="4" t="s">
        <v>1</v>
      </c>
      <c r="F76" s="4" t="s">
        <v>1</v>
      </c>
      <c r="G76" s="4" t="s">
        <v>1</v>
      </c>
      <c r="H76" s="4" t="s">
        <v>1</v>
      </c>
      <c r="I76" s="5" t="s">
        <v>2</v>
      </c>
      <c r="J76" s="5" t="s">
        <v>2</v>
      </c>
      <c r="K76" s="5" t="s">
        <v>2</v>
      </c>
      <c r="L76" s="5" t="s">
        <v>2</v>
      </c>
      <c r="M76" s="5" t="s">
        <v>2</v>
      </c>
      <c r="N76" s="5" t="s">
        <v>2</v>
      </c>
      <c r="O76" s="5" t="s">
        <v>1</v>
      </c>
    </row>
    <row r="77" spans="2:25" ht="67.5" customHeight="1">
      <c r="B77" s="16" t="s">
        <v>151</v>
      </c>
      <c r="C77" s="6" t="s">
        <v>5</v>
      </c>
      <c r="D77" s="11" t="s">
        <v>57</v>
      </c>
      <c r="E77" s="11" t="s">
        <v>58</v>
      </c>
      <c r="F77" s="11" t="s">
        <v>59</v>
      </c>
      <c r="G77" s="11" t="s">
        <v>152</v>
      </c>
      <c r="H77" s="11" t="s">
        <v>153</v>
      </c>
      <c r="I77" s="11" t="s">
        <v>824</v>
      </c>
      <c r="J77" s="11" t="s">
        <v>825</v>
      </c>
      <c r="K77" s="11" t="s">
        <v>826</v>
      </c>
      <c r="L77" s="11" t="s">
        <v>827</v>
      </c>
      <c r="M77" s="11" t="s">
        <v>828</v>
      </c>
      <c r="N77" s="11" t="s">
        <v>829</v>
      </c>
      <c r="O77" s="11" t="s">
        <v>830</v>
      </c>
      <c r="P77" s="11" t="s">
        <v>831</v>
      </c>
      <c r="Q77" s="11" t="s">
        <v>832</v>
      </c>
      <c r="R77" s="11" t="s">
        <v>833</v>
      </c>
      <c r="S77" s="11" t="s">
        <v>834</v>
      </c>
      <c r="T77" s="11" t="s">
        <v>835</v>
      </c>
      <c r="U77" s="11" t="s">
        <v>836</v>
      </c>
      <c r="V77" s="11" t="s">
        <v>837</v>
      </c>
      <c r="W77" s="11" t="s">
        <v>838</v>
      </c>
      <c r="X77" s="11" t="s">
        <v>839</v>
      </c>
      <c r="Y77" s="11" t="s">
        <v>840</v>
      </c>
    </row>
    <row r="78" spans="2:25" ht="14.25" customHeight="1">
      <c r="B78" s="17" t="s">
        <v>154</v>
      </c>
      <c r="C78" s="8" t="s">
        <v>155</v>
      </c>
      <c r="D78" s="124">
        <v>4418557.06</v>
      </c>
      <c r="E78" s="124">
        <v>4416668.06</v>
      </c>
      <c r="F78" s="124">
        <v>4421107.06</v>
      </c>
      <c r="G78" s="124">
        <v>4952232.61</v>
      </c>
      <c r="H78" s="124">
        <v>2083950.14</v>
      </c>
      <c r="I78" s="124">
        <v>4360966.86</v>
      </c>
      <c r="J78" s="124">
        <v>4290844.77</v>
      </c>
      <c r="K78" s="124">
        <v>4360568.14</v>
      </c>
      <c r="L78" s="124">
        <v>4468500.09</v>
      </c>
      <c r="M78" s="124">
        <v>3709638.31</v>
      </c>
      <c r="N78" s="124">
        <v>4759124.71</v>
      </c>
      <c r="O78" s="124">
        <v>4383848.51</v>
      </c>
      <c r="P78" s="85">
        <f>IF($D$238=1,(K78+W78),(O78+X78))</f>
        <v>6853000.6899999995</v>
      </c>
      <c r="Q78" s="124">
        <v>4718452.25</v>
      </c>
      <c r="R78" s="124">
        <v>5769736.88</v>
      </c>
      <c r="S78" s="124">
        <v>4873794.67</v>
      </c>
      <c r="T78" s="85">
        <f>IF($D$238=1,(N78+0),(S78+0))</f>
        <v>4873794.67</v>
      </c>
      <c r="U78" s="124">
        <v>1954060.14</v>
      </c>
      <c r="V78" s="124">
        <v>1887945.72</v>
      </c>
      <c r="W78" s="124">
        <v>2482506.71</v>
      </c>
      <c r="X78" s="124">
        <v>2469152.18</v>
      </c>
      <c r="Y78" s="85">
        <f>IF($D$238=1,(K78+0),(O78+0))</f>
        <v>4383848.51</v>
      </c>
    </row>
    <row r="79" spans="2:25" ht="14.25" customHeight="1">
      <c r="B79" s="17" t="s">
        <v>156</v>
      </c>
      <c r="C79" s="8" t="s">
        <v>157</v>
      </c>
      <c r="D79" s="124">
        <v>0</v>
      </c>
      <c r="E79" s="124">
        <v>0</v>
      </c>
      <c r="F79" s="124">
        <v>0</v>
      </c>
      <c r="G79" s="124">
        <v>0</v>
      </c>
      <c r="H79" s="124">
        <v>0</v>
      </c>
      <c r="I79" s="124">
        <v>0</v>
      </c>
      <c r="J79" s="124">
        <v>0</v>
      </c>
      <c r="K79" s="124">
        <v>0</v>
      </c>
      <c r="L79" s="124">
        <v>0</v>
      </c>
      <c r="M79" s="124">
        <v>0</v>
      </c>
      <c r="N79" s="124">
        <v>0</v>
      </c>
      <c r="O79" s="124">
        <v>0</v>
      </c>
      <c r="P79" s="85">
        <f aca="true" t="shared" si="0" ref="P79:P115">IF($D$238=1,(K79+W79),(O79+X79))</f>
        <v>0</v>
      </c>
      <c r="Q79" s="124">
        <v>0</v>
      </c>
      <c r="R79" s="124">
        <v>0</v>
      </c>
      <c r="S79" s="124">
        <v>0</v>
      </c>
      <c r="T79" s="85">
        <f aca="true" t="shared" si="1" ref="T79:T115">IF($D$238=1,(N79+0),(S79+0))</f>
        <v>0</v>
      </c>
      <c r="U79" s="124">
        <v>0</v>
      </c>
      <c r="V79" s="124">
        <v>0</v>
      </c>
      <c r="W79" s="124">
        <v>0</v>
      </c>
      <c r="X79" s="124">
        <v>0</v>
      </c>
      <c r="Y79" s="85">
        <f aca="true" t="shared" si="2" ref="Y79:Y115">IF($D$238=1,(K79+0),(O79+0))</f>
        <v>0</v>
      </c>
    </row>
    <row r="80" spans="2:25" ht="14.25" customHeight="1">
      <c r="B80" s="17" t="s">
        <v>158</v>
      </c>
      <c r="C80" s="8" t="s">
        <v>159</v>
      </c>
      <c r="D80" s="124">
        <v>1671000</v>
      </c>
      <c r="E80" s="124">
        <v>1671000</v>
      </c>
      <c r="F80" s="124">
        <v>1671000</v>
      </c>
      <c r="G80" s="124">
        <v>1671000</v>
      </c>
      <c r="H80" s="124">
        <v>0</v>
      </c>
      <c r="I80" s="124">
        <v>1592702.52</v>
      </c>
      <c r="J80" s="124">
        <v>1677155.74</v>
      </c>
      <c r="K80" s="124">
        <v>1671165</v>
      </c>
      <c r="L80" s="124">
        <v>1518894.5</v>
      </c>
      <c r="M80" s="124">
        <v>1761712.14</v>
      </c>
      <c r="N80" s="124">
        <v>1721450.96</v>
      </c>
      <c r="O80" s="124">
        <v>1671000</v>
      </c>
      <c r="P80" s="85">
        <f t="shared" si="0"/>
        <v>1721285.96</v>
      </c>
      <c r="Q80" s="124">
        <v>1578702.52</v>
      </c>
      <c r="R80" s="124">
        <v>1810842.39</v>
      </c>
      <c r="S80" s="124">
        <v>1721285.96</v>
      </c>
      <c r="T80" s="85">
        <f t="shared" si="1"/>
        <v>1721285.96</v>
      </c>
      <c r="U80" s="124">
        <v>61034.34</v>
      </c>
      <c r="V80" s="124">
        <v>134842.36</v>
      </c>
      <c r="W80" s="124">
        <v>50285.96</v>
      </c>
      <c r="X80" s="124">
        <v>50285.96</v>
      </c>
      <c r="Y80" s="85">
        <f t="shared" si="2"/>
        <v>1671000</v>
      </c>
    </row>
    <row r="81" spans="2:25" ht="14.25" customHeight="1">
      <c r="B81" s="17" t="s">
        <v>160</v>
      </c>
      <c r="C81" s="8" t="s">
        <v>161</v>
      </c>
      <c r="D81" s="124">
        <v>0</v>
      </c>
      <c r="E81" s="124">
        <v>0</v>
      </c>
      <c r="F81" s="124">
        <v>0</v>
      </c>
      <c r="G81" s="124">
        <v>0</v>
      </c>
      <c r="H81" s="124">
        <v>0</v>
      </c>
      <c r="I81" s="124">
        <v>0</v>
      </c>
      <c r="J81" s="124">
        <v>0</v>
      </c>
      <c r="K81" s="124">
        <v>0</v>
      </c>
      <c r="L81" s="124">
        <v>0</v>
      </c>
      <c r="M81" s="124">
        <v>0</v>
      </c>
      <c r="N81" s="124">
        <v>0</v>
      </c>
      <c r="O81" s="124">
        <v>0</v>
      </c>
      <c r="P81" s="85">
        <f t="shared" si="0"/>
        <v>0</v>
      </c>
      <c r="Q81" s="124">
        <v>0</v>
      </c>
      <c r="R81" s="124">
        <v>0</v>
      </c>
      <c r="S81" s="124">
        <v>0</v>
      </c>
      <c r="T81" s="85">
        <f t="shared" si="1"/>
        <v>0</v>
      </c>
      <c r="U81" s="124">
        <v>0</v>
      </c>
      <c r="V81" s="124">
        <v>0</v>
      </c>
      <c r="W81" s="124">
        <v>0</v>
      </c>
      <c r="X81" s="124">
        <v>0</v>
      </c>
      <c r="Y81" s="85">
        <f t="shared" si="2"/>
        <v>0</v>
      </c>
    </row>
    <row r="82" spans="2:25" ht="14.25" customHeight="1">
      <c r="B82" s="18" t="s">
        <v>162</v>
      </c>
      <c r="C82" s="19" t="s">
        <v>163</v>
      </c>
      <c r="D82" s="124">
        <v>6089557.06</v>
      </c>
      <c r="E82" s="124">
        <v>6087668.06</v>
      </c>
      <c r="F82" s="124">
        <v>6092107.06</v>
      </c>
      <c r="G82" s="124">
        <v>6623232.61</v>
      </c>
      <c r="H82" s="124">
        <v>2083950.14</v>
      </c>
      <c r="I82" s="124">
        <v>5953669.38</v>
      </c>
      <c r="J82" s="124">
        <v>5968000.51</v>
      </c>
      <c r="K82" s="124">
        <v>6031733.14</v>
      </c>
      <c r="L82" s="124">
        <v>5987394.59</v>
      </c>
      <c r="M82" s="124">
        <v>5471350.45</v>
      </c>
      <c r="N82" s="124">
        <v>6480575.67</v>
      </c>
      <c r="O82" s="124">
        <v>6054848.51</v>
      </c>
      <c r="P82" s="85">
        <f t="shared" si="0"/>
        <v>8574286.65</v>
      </c>
      <c r="Q82" s="124">
        <v>6297154.77</v>
      </c>
      <c r="R82" s="124">
        <v>7580579.27</v>
      </c>
      <c r="S82" s="124">
        <v>6595080.63</v>
      </c>
      <c r="T82" s="85">
        <f t="shared" si="1"/>
        <v>6595080.63</v>
      </c>
      <c r="U82" s="124">
        <v>2015094.48</v>
      </c>
      <c r="V82" s="124">
        <v>2022788.08</v>
      </c>
      <c r="W82" s="124">
        <v>2532792.67</v>
      </c>
      <c r="X82" s="124">
        <v>2519438.14</v>
      </c>
      <c r="Y82" s="85">
        <f t="shared" si="2"/>
        <v>6054848.51</v>
      </c>
    </row>
    <row r="83" spans="2:25" ht="14.25" customHeight="1">
      <c r="B83" s="17" t="s">
        <v>164</v>
      </c>
      <c r="C83" s="8" t="s">
        <v>165</v>
      </c>
      <c r="D83" s="124">
        <v>301391.98</v>
      </c>
      <c r="E83" s="124">
        <v>312635.44</v>
      </c>
      <c r="F83" s="124">
        <v>318635.44</v>
      </c>
      <c r="G83" s="124">
        <v>314120.19</v>
      </c>
      <c r="H83" s="124">
        <v>12728.21</v>
      </c>
      <c r="I83" s="124">
        <v>114799.72</v>
      </c>
      <c r="J83" s="124">
        <v>227020.5</v>
      </c>
      <c r="K83" s="124">
        <v>297167.14</v>
      </c>
      <c r="L83" s="124">
        <v>118318.43</v>
      </c>
      <c r="M83" s="124">
        <v>204103.59</v>
      </c>
      <c r="N83" s="124">
        <v>313269.21</v>
      </c>
      <c r="O83" s="124">
        <v>342392.83</v>
      </c>
      <c r="P83" s="85">
        <f t="shared" si="0"/>
        <v>371223.11</v>
      </c>
      <c r="Q83" s="124">
        <v>165259.12</v>
      </c>
      <c r="R83" s="124">
        <v>214468.06</v>
      </c>
      <c r="S83" s="124">
        <v>371223.11</v>
      </c>
      <c r="T83" s="85">
        <f t="shared" si="1"/>
        <v>371223.11</v>
      </c>
      <c r="U83" s="124">
        <v>9166.03</v>
      </c>
      <c r="V83" s="124">
        <v>5913.37</v>
      </c>
      <c r="W83" s="124">
        <v>28830.28</v>
      </c>
      <c r="X83" s="124">
        <v>28830.28</v>
      </c>
      <c r="Y83" s="85">
        <f t="shared" si="2"/>
        <v>342392.83</v>
      </c>
    </row>
    <row r="84" spans="2:25" ht="14.25" customHeight="1">
      <c r="B84" s="17" t="s">
        <v>166</v>
      </c>
      <c r="C84" s="8" t="s">
        <v>167</v>
      </c>
      <c r="D84" s="124">
        <v>0</v>
      </c>
      <c r="E84" s="124">
        <v>0</v>
      </c>
      <c r="F84" s="124">
        <v>0</v>
      </c>
      <c r="G84" s="124">
        <v>0</v>
      </c>
      <c r="H84" s="124">
        <v>0</v>
      </c>
      <c r="I84" s="124">
        <v>0</v>
      </c>
      <c r="J84" s="124">
        <v>0</v>
      </c>
      <c r="K84" s="124">
        <v>0</v>
      </c>
      <c r="L84" s="124">
        <v>0</v>
      </c>
      <c r="M84" s="124">
        <v>0</v>
      </c>
      <c r="N84" s="124">
        <v>0</v>
      </c>
      <c r="O84" s="124">
        <v>0</v>
      </c>
      <c r="P84" s="85">
        <f t="shared" si="0"/>
        <v>0</v>
      </c>
      <c r="Q84" s="124">
        <v>0</v>
      </c>
      <c r="R84" s="124">
        <v>0</v>
      </c>
      <c r="S84" s="124">
        <v>0</v>
      </c>
      <c r="T84" s="85">
        <f t="shared" si="1"/>
        <v>0</v>
      </c>
      <c r="U84" s="124">
        <v>0</v>
      </c>
      <c r="V84" s="124">
        <v>0</v>
      </c>
      <c r="W84" s="124">
        <v>0</v>
      </c>
      <c r="X84" s="124">
        <v>0</v>
      </c>
      <c r="Y84" s="85">
        <f t="shared" si="2"/>
        <v>0</v>
      </c>
    </row>
    <row r="85" spans="2:25" ht="14.25" customHeight="1">
      <c r="B85" s="17" t="s">
        <v>168</v>
      </c>
      <c r="C85" s="8" t="s">
        <v>169</v>
      </c>
      <c r="D85" s="124">
        <v>155829.74</v>
      </c>
      <c r="E85" s="124">
        <v>133767.5</v>
      </c>
      <c r="F85" s="124">
        <v>136767.5</v>
      </c>
      <c r="G85" s="124">
        <v>165131.02</v>
      </c>
      <c r="H85" s="124">
        <v>9301.28</v>
      </c>
      <c r="I85" s="124">
        <v>570500.05</v>
      </c>
      <c r="J85" s="124">
        <v>125870.88</v>
      </c>
      <c r="K85" s="124">
        <v>107803.52</v>
      </c>
      <c r="L85" s="124">
        <v>573566.05</v>
      </c>
      <c r="M85" s="124">
        <v>122995.04</v>
      </c>
      <c r="N85" s="124">
        <v>101378.08</v>
      </c>
      <c r="O85" s="124">
        <v>116529.04</v>
      </c>
      <c r="P85" s="85">
        <f t="shared" si="0"/>
        <v>119404.87999999999</v>
      </c>
      <c r="Q85" s="124">
        <v>576896.05</v>
      </c>
      <c r="R85" s="124">
        <v>129645.04</v>
      </c>
      <c r="S85" s="124">
        <v>119404.88</v>
      </c>
      <c r="T85" s="85">
        <f t="shared" si="1"/>
        <v>119404.88</v>
      </c>
      <c r="U85" s="124">
        <v>3066</v>
      </c>
      <c r="V85" s="124">
        <v>0</v>
      </c>
      <c r="W85" s="124">
        <v>2875.84</v>
      </c>
      <c r="X85" s="124">
        <v>2875.84</v>
      </c>
      <c r="Y85" s="85">
        <f t="shared" si="2"/>
        <v>116529.04</v>
      </c>
    </row>
    <row r="86" spans="2:25" ht="14.25" customHeight="1">
      <c r="B86" s="17" t="s">
        <v>170</v>
      </c>
      <c r="C86" s="8" t="s">
        <v>171</v>
      </c>
      <c r="D86" s="124">
        <v>12760.69</v>
      </c>
      <c r="E86" s="124">
        <v>0</v>
      </c>
      <c r="F86" s="124">
        <v>0</v>
      </c>
      <c r="G86" s="124">
        <v>12760.69</v>
      </c>
      <c r="H86" s="124">
        <v>0</v>
      </c>
      <c r="I86" s="124">
        <v>0</v>
      </c>
      <c r="J86" s="124">
        <v>0</v>
      </c>
      <c r="K86" s="124">
        <v>11333</v>
      </c>
      <c r="L86" s="124">
        <v>0</v>
      </c>
      <c r="M86" s="124">
        <v>0</v>
      </c>
      <c r="N86" s="124">
        <v>11333</v>
      </c>
      <c r="O86" s="124">
        <v>11333</v>
      </c>
      <c r="P86" s="85">
        <f t="shared" si="0"/>
        <v>11333</v>
      </c>
      <c r="Q86" s="124">
        <v>0</v>
      </c>
      <c r="R86" s="124">
        <v>0</v>
      </c>
      <c r="S86" s="124">
        <v>11333</v>
      </c>
      <c r="T86" s="85">
        <f t="shared" si="1"/>
        <v>11333</v>
      </c>
      <c r="U86" s="124">
        <v>0</v>
      </c>
      <c r="V86" s="124">
        <v>0</v>
      </c>
      <c r="W86" s="124">
        <v>0</v>
      </c>
      <c r="X86" s="124">
        <v>0</v>
      </c>
      <c r="Y86" s="85">
        <f t="shared" si="2"/>
        <v>11333</v>
      </c>
    </row>
    <row r="87" spans="2:25" ht="14.25" customHeight="1">
      <c r="B87" s="17" t="s">
        <v>172</v>
      </c>
      <c r="C87" s="8" t="s">
        <v>173</v>
      </c>
      <c r="D87" s="124">
        <v>0</v>
      </c>
      <c r="E87" s="124">
        <v>0</v>
      </c>
      <c r="F87" s="124">
        <v>0</v>
      </c>
      <c r="G87" s="124">
        <v>0</v>
      </c>
      <c r="H87" s="124">
        <v>0</v>
      </c>
      <c r="I87" s="124">
        <v>0</v>
      </c>
      <c r="J87" s="124">
        <v>0</v>
      </c>
      <c r="K87" s="124">
        <v>0</v>
      </c>
      <c r="L87" s="124">
        <v>0</v>
      </c>
      <c r="M87" s="124">
        <v>0</v>
      </c>
      <c r="N87" s="124">
        <v>0</v>
      </c>
      <c r="O87" s="124">
        <v>0</v>
      </c>
      <c r="P87" s="85">
        <f t="shared" si="0"/>
        <v>0</v>
      </c>
      <c r="Q87" s="124">
        <v>0</v>
      </c>
      <c r="R87" s="124">
        <v>0</v>
      </c>
      <c r="S87" s="124">
        <v>0</v>
      </c>
      <c r="T87" s="85">
        <f t="shared" si="1"/>
        <v>0</v>
      </c>
      <c r="U87" s="124">
        <v>0</v>
      </c>
      <c r="V87" s="124">
        <v>0</v>
      </c>
      <c r="W87" s="124">
        <v>0</v>
      </c>
      <c r="X87" s="124">
        <v>0</v>
      </c>
      <c r="Y87" s="85">
        <f t="shared" si="2"/>
        <v>0</v>
      </c>
    </row>
    <row r="88" spans="2:25" ht="14.25" customHeight="1">
      <c r="B88" s="18" t="s">
        <v>174</v>
      </c>
      <c r="C88" s="19" t="s">
        <v>175</v>
      </c>
      <c r="D88" s="124">
        <v>469982.41</v>
      </c>
      <c r="E88" s="124">
        <v>446402.94</v>
      </c>
      <c r="F88" s="124">
        <v>455402.94</v>
      </c>
      <c r="G88" s="124">
        <v>492011.9</v>
      </c>
      <c r="H88" s="124">
        <v>22029.49</v>
      </c>
      <c r="I88" s="124">
        <v>685299.77</v>
      </c>
      <c r="J88" s="124">
        <v>352891.38</v>
      </c>
      <c r="K88" s="124">
        <v>416303.66</v>
      </c>
      <c r="L88" s="124">
        <v>691884.48</v>
      </c>
      <c r="M88" s="124">
        <v>327098.63</v>
      </c>
      <c r="N88" s="124">
        <v>425980.29</v>
      </c>
      <c r="O88" s="124">
        <v>470254.87</v>
      </c>
      <c r="P88" s="85">
        <f t="shared" si="0"/>
        <v>501960.99</v>
      </c>
      <c r="Q88" s="124">
        <v>742155.17</v>
      </c>
      <c r="R88" s="124">
        <v>344113.1</v>
      </c>
      <c r="S88" s="124">
        <v>501960.99</v>
      </c>
      <c r="T88" s="85">
        <f t="shared" si="1"/>
        <v>501960.99</v>
      </c>
      <c r="U88" s="124">
        <v>12232.03</v>
      </c>
      <c r="V88" s="124">
        <v>5913.37</v>
      </c>
      <c r="W88" s="124">
        <v>31706.12</v>
      </c>
      <c r="X88" s="124">
        <v>31706.12</v>
      </c>
      <c r="Y88" s="85">
        <f t="shared" si="2"/>
        <v>470254.87</v>
      </c>
    </row>
    <row r="89" spans="2:25" ht="14.25" customHeight="1">
      <c r="B89" s="17" t="s">
        <v>176</v>
      </c>
      <c r="C89" s="8" t="s">
        <v>177</v>
      </c>
      <c r="D89" s="124">
        <v>1648395.74</v>
      </c>
      <c r="E89" s="124">
        <v>1474459.7</v>
      </c>
      <c r="F89" s="124">
        <v>1474484.7</v>
      </c>
      <c r="G89" s="124">
        <v>2176742</v>
      </c>
      <c r="H89" s="124">
        <v>645416.6</v>
      </c>
      <c r="I89" s="124">
        <v>1472644.69</v>
      </c>
      <c r="J89" s="124">
        <v>1543007.12</v>
      </c>
      <c r="K89" s="124">
        <v>1584165.74</v>
      </c>
      <c r="L89" s="124">
        <v>1443555.69</v>
      </c>
      <c r="M89" s="124">
        <v>1388755.08</v>
      </c>
      <c r="N89" s="124">
        <v>1563665.23</v>
      </c>
      <c r="O89" s="124">
        <v>1585459.95</v>
      </c>
      <c r="P89" s="85">
        <f t="shared" si="0"/>
        <v>2213476.1</v>
      </c>
      <c r="Q89" s="124">
        <v>1756721.83</v>
      </c>
      <c r="R89" s="124">
        <v>1972310.99</v>
      </c>
      <c r="S89" s="124">
        <v>2037383.49</v>
      </c>
      <c r="T89" s="85">
        <f t="shared" si="1"/>
        <v>2037383.49</v>
      </c>
      <c r="U89" s="124">
        <v>448712.9</v>
      </c>
      <c r="V89" s="124">
        <v>473764.11</v>
      </c>
      <c r="W89" s="124">
        <v>624916.09</v>
      </c>
      <c r="X89" s="124">
        <v>628016.15</v>
      </c>
      <c r="Y89" s="85">
        <f t="shared" si="2"/>
        <v>1585459.95</v>
      </c>
    </row>
    <row r="90" spans="2:25" ht="14.25" customHeight="1">
      <c r="B90" s="17" t="s">
        <v>178</v>
      </c>
      <c r="C90" s="8" t="s">
        <v>179</v>
      </c>
      <c r="D90" s="124">
        <v>441600</v>
      </c>
      <c r="E90" s="124">
        <v>441600</v>
      </c>
      <c r="F90" s="124">
        <v>441600</v>
      </c>
      <c r="G90" s="124">
        <v>400076.11</v>
      </c>
      <c r="H90" s="124">
        <v>436171.25</v>
      </c>
      <c r="I90" s="124">
        <v>416372.18</v>
      </c>
      <c r="J90" s="124">
        <v>402671.73</v>
      </c>
      <c r="K90" s="124">
        <v>267191.59</v>
      </c>
      <c r="L90" s="124">
        <v>291821.71</v>
      </c>
      <c r="M90" s="124">
        <v>294427.94</v>
      </c>
      <c r="N90" s="124">
        <v>302070.06</v>
      </c>
      <c r="O90" s="124">
        <v>420500</v>
      </c>
      <c r="P90" s="85">
        <f t="shared" si="0"/>
        <v>891549.72</v>
      </c>
      <c r="Q90" s="124">
        <v>338370.85</v>
      </c>
      <c r="R90" s="124">
        <v>345938.54</v>
      </c>
      <c r="S90" s="124">
        <v>469639.33</v>
      </c>
      <c r="T90" s="85">
        <f t="shared" si="1"/>
        <v>469639.33</v>
      </c>
      <c r="U90" s="124">
        <v>238264.21</v>
      </c>
      <c r="V90" s="124">
        <v>362805.93</v>
      </c>
      <c r="W90" s="124">
        <v>471049.72</v>
      </c>
      <c r="X90" s="124">
        <v>471049.72</v>
      </c>
      <c r="Y90" s="85">
        <f t="shared" si="2"/>
        <v>420500</v>
      </c>
    </row>
    <row r="91" spans="2:25" ht="14.25" customHeight="1">
      <c r="B91" s="17" t="s">
        <v>180</v>
      </c>
      <c r="C91" s="8" t="s">
        <v>181</v>
      </c>
      <c r="D91" s="124">
        <v>7100</v>
      </c>
      <c r="E91" s="124">
        <v>7100</v>
      </c>
      <c r="F91" s="124">
        <v>7100</v>
      </c>
      <c r="G91" s="124">
        <v>9300.56</v>
      </c>
      <c r="H91" s="124">
        <v>2200.56</v>
      </c>
      <c r="I91" s="124">
        <v>3606.73</v>
      </c>
      <c r="J91" s="124">
        <v>4574.16</v>
      </c>
      <c r="K91" s="124">
        <v>6502.04</v>
      </c>
      <c r="L91" s="124">
        <v>3472.75</v>
      </c>
      <c r="M91" s="124">
        <v>4561.34</v>
      </c>
      <c r="N91" s="124">
        <v>7016.16</v>
      </c>
      <c r="O91" s="124">
        <v>4400</v>
      </c>
      <c r="P91" s="85">
        <f t="shared" si="0"/>
        <v>7114.68</v>
      </c>
      <c r="Q91" s="124">
        <v>7017.31</v>
      </c>
      <c r="R91" s="124">
        <v>6893.6</v>
      </c>
      <c r="S91" s="124">
        <v>6005.07</v>
      </c>
      <c r="T91" s="85">
        <f t="shared" si="1"/>
        <v>6005.07</v>
      </c>
      <c r="U91" s="124">
        <v>2567.31</v>
      </c>
      <c r="V91" s="124">
        <v>2701.86</v>
      </c>
      <c r="W91" s="124">
        <v>2714.68</v>
      </c>
      <c r="X91" s="124">
        <v>2714.68</v>
      </c>
      <c r="Y91" s="85">
        <f t="shared" si="2"/>
        <v>4400</v>
      </c>
    </row>
    <row r="92" spans="2:25" ht="14.25" customHeight="1">
      <c r="B92" s="17" t="s">
        <v>182</v>
      </c>
      <c r="C92" s="8" t="s">
        <v>183</v>
      </c>
      <c r="D92" s="124">
        <v>58184.34</v>
      </c>
      <c r="E92" s="124">
        <v>40000</v>
      </c>
      <c r="F92" s="124">
        <v>40000</v>
      </c>
      <c r="G92" s="124">
        <v>58184.34</v>
      </c>
      <c r="H92" s="124">
        <v>0</v>
      </c>
      <c r="I92" s="124">
        <v>41321.14</v>
      </c>
      <c r="J92" s="124">
        <v>0</v>
      </c>
      <c r="K92" s="124">
        <v>67023.25</v>
      </c>
      <c r="L92" s="124">
        <v>41321.14</v>
      </c>
      <c r="M92" s="124">
        <v>0</v>
      </c>
      <c r="N92" s="124">
        <v>67023.25</v>
      </c>
      <c r="O92" s="124">
        <v>67023.25</v>
      </c>
      <c r="P92" s="85">
        <f t="shared" si="0"/>
        <v>67023.25</v>
      </c>
      <c r="Q92" s="124">
        <v>41321.14</v>
      </c>
      <c r="R92" s="124">
        <v>0</v>
      </c>
      <c r="S92" s="124">
        <v>67023.25</v>
      </c>
      <c r="T92" s="85">
        <f t="shared" si="1"/>
        <v>67023.25</v>
      </c>
      <c r="U92" s="124">
        <v>0</v>
      </c>
      <c r="V92" s="124">
        <v>0</v>
      </c>
      <c r="W92" s="124">
        <v>0</v>
      </c>
      <c r="X92" s="124">
        <v>0</v>
      </c>
      <c r="Y92" s="85">
        <f t="shared" si="2"/>
        <v>67023.25</v>
      </c>
    </row>
    <row r="93" spans="2:25" ht="14.25" customHeight="1">
      <c r="B93" s="20" t="s">
        <v>184</v>
      </c>
      <c r="C93" s="8" t="s">
        <v>185</v>
      </c>
      <c r="D93" s="124">
        <v>321641.81</v>
      </c>
      <c r="E93" s="124">
        <v>312002.4</v>
      </c>
      <c r="F93" s="124">
        <v>312002.4</v>
      </c>
      <c r="G93" s="124">
        <v>433292.09</v>
      </c>
      <c r="H93" s="124">
        <v>111650.28</v>
      </c>
      <c r="I93" s="124">
        <v>223169.11</v>
      </c>
      <c r="J93" s="124">
        <v>306765.99</v>
      </c>
      <c r="K93" s="124">
        <v>327221.96</v>
      </c>
      <c r="L93" s="124">
        <v>206109.9</v>
      </c>
      <c r="M93" s="124">
        <v>238964.73</v>
      </c>
      <c r="N93" s="124">
        <v>332319.19</v>
      </c>
      <c r="O93" s="124">
        <v>367032.64</v>
      </c>
      <c r="P93" s="85">
        <f t="shared" si="0"/>
        <v>483780.15</v>
      </c>
      <c r="Q93" s="124">
        <v>324599.27</v>
      </c>
      <c r="R93" s="124">
        <v>381880.77</v>
      </c>
      <c r="S93" s="124">
        <v>450499.45</v>
      </c>
      <c r="T93" s="85">
        <f t="shared" si="1"/>
        <v>450499.45</v>
      </c>
      <c r="U93" s="124">
        <v>34273.85</v>
      </c>
      <c r="V93" s="124">
        <v>48946.25</v>
      </c>
      <c r="W93" s="124">
        <v>116747.51</v>
      </c>
      <c r="X93" s="124">
        <v>116747.51</v>
      </c>
      <c r="Y93" s="85">
        <f t="shared" si="2"/>
        <v>367032.64</v>
      </c>
    </row>
    <row r="94" spans="2:25" ht="14.25" customHeight="1">
      <c r="B94" s="18" t="s">
        <v>186</v>
      </c>
      <c r="C94" s="19" t="s">
        <v>187</v>
      </c>
      <c r="D94" s="124">
        <v>2476921.89</v>
      </c>
      <c r="E94" s="124">
        <v>2275162.1</v>
      </c>
      <c r="F94" s="124">
        <v>2275187.1</v>
      </c>
      <c r="G94" s="124">
        <v>3077595.1</v>
      </c>
      <c r="H94" s="124">
        <v>1195438.69</v>
      </c>
      <c r="I94" s="124">
        <v>2157113.85</v>
      </c>
      <c r="J94" s="124">
        <v>2257019</v>
      </c>
      <c r="K94" s="124">
        <v>2252104.58</v>
      </c>
      <c r="L94" s="124">
        <v>1986281.19</v>
      </c>
      <c r="M94" s="124">
        <v>1926709.09</v>
      </c>
      <c r="N94" s="124">
        <v>2272093.89</v>
      </c>
      <c r="O94" s="124">
        <v>2444415.84</v>
      </c>
      <c r="P94" s="85">
        <f t="shared" si="0"/>
        <v>3662943.9</v>
      </c>
      <c r="Q94" s="124">
        <v>2468030.4</v>
      </c>
      <c r="R94" s="124">
        <v>2707023.9</v>
      </c>
      <c r="S94" s="124">
        <v>3030550.59</v>
      </c>
      <c r="T94" s="85">
        <f t="shared" si="1"/>
        <v>3030550.59</v>
      </c>
      <c r="U94" s="124">
        <v>723818.27</v>
      </c>
      <c r="V94" s="124">
        <v>888218.15</v>
      </c>
      <c r="W94" s="124">
        <v>1215428</v>
      </c>
      <c r="X94" s="124">
        <v>1218528.06</v>
      </c>
      <c r="Y94" s="85">
        <f t="shared" si="2"/>
        <v>2444415.84</v>
      </c>
    </row>
    <row r="95" spans="2:25" ht="14.25" customHeight="1">
      <c r="B95" s="17" t="s">
        <v>188</v>
      </c>
      <c r="C95" s="8" t="s">
        <v>189</v>
      </c>
      <c r="D95" s="124">
        <v>0</v>
      </c>
      <c r="E95" s="124">
        <v>0</v>
      </c>
      <c r="F95" s="124">
        <v>0</v>
      </c>
      <c r="G95" s="124">
        <v>0</v>
      </c>
      <c r="H95" s="124">
        <v>0</v>
      </c>
      <c r="I95" s="124">
        <v>0</v>
      </c>
      <c r="J95" s="124">
        <v>0</v>
      </c>
      <c r="K95" s="124">
        <v>0</v>
      </c>
      <c r="L95" s="124">
        <v>0</v>
      </c>
      <c r="M95" s="124">
        <v>0</v>
      </c>
      <c r="N95" s="124">
        <v>0</v>
      </c>
      <c r="O95" s="124">
        <v>0</v>
      </c>
      <c r="P95" s="85">
        <f t="shared" si="0"/>
        <v>0</v>
      </c>
      <c r="Q95" s="124">
        <v>0</v>
      </c>
      <c r="R95" s="124">
        <v>0</v>
      </c>
      <c r="S95" s="124">
        <v>0</v>
      </c>
      <c r="T95" s="85">
        <f t="shared" si="1"/>
        <v>0</v>
      </c>
      <c r="U95" s="124">
        <v>0</v>
      </c>
      <c r="V95" s="124">
        <v>0</v>
      </c>
      <c r="W95" s="124">
        <v>0</v>
      </c>
      <c r="X95" s="124">
        <v>0</v>
      </c>
      <c r="Y95" s="85">
        <f t="shared" si="2"/>
        <v>0</v>
      </c>
    </row>
    <row r="96" spans="2:25" ht="14.25" customHeight="1">
      <c r="B96" s="17" t="s">
        <v>190</v>
      </c>
      <c r="C96" s="8" t="s">
        <v>127</v>
      </c>
      <c r="D96" s="124">
        <v>2743016.5</v>
      </c>
      <c r="E96" s="124">
        <v>1130000</v>
      </c>
      <c r="F96" s="124">
        <v>230000</v>
      </c>
      <c r="G96" s="124">
        <v>3927099.53</v>
      </c>
      <c r="H96" s="124">
        <v>1184083.03</v>
      </c>
      <c r="I96" s="124">
        <v>71774.62</v>
      </c>
      <c r="J96" s="124">
        <v>379940.14</v>
      </c>
      <c r="K96" s="124">
        <v>1454719.42</v>
      </c>
      <c r="L96" s="124">
        <v>71774.62</v>
      </c>
      <c r="M96" s="124">
        <v>289678</v>
      </c>
      <c r="N96" s="124">
        <v>356841.47</v>
      </c>
      <c r="O96" s="124">
        <v>1655115</v>
      </c>
      <c r="P96" s="85">
        <f t="shared" si="0"/>
        <v>1745377.14</v>
      </c>
      <c r="Q96" s="124">
        <v>71774.62</v>
      </c>
      <c r="R96" s="124">
        <v>451536.25</v>
      </c>
      <c r="S96" s="124">
        <v>1739377.14</v>
      </c>
      <c r="T96" s="85">
        <f t="shared" si="1"/>
        <v>1739377.14</v>
      </c>
      <c r="U96" s="124">
        <v>0</v>
      </c>
      <c r="V96" s="124">
        <v>0</v>
      </c>
      <c r="W96" s="124">
        <v>86205.08</v>
      </c>
      <c r="X96" s="124">
        <v>90262.14</v>
      </c>
      <c r="Y96" s="85">
        <f t="shared" si="2"/>
        <v>1655115</v>
      </c>
    </row>
    <row r="97" spans="2:25" ht="14.25" customHeight="1">
      <c r="B97" s="17" t="s">
        <v>191</v>
      </c>
      <c r="C97" s="8" t="s">
        <v>192</v>
      </c>
      <c r="D97" s="124">
        <v>15000</v>
      </c>
      <c r="E97" s="124">
        <v>15000</v>
      </c>
      <c r="F97" s="124">
        <v>15000</v>
      </c>
      <c r="G97" s="124">
        <v>15000</v>
      </c>
      <c r="H97" s="124">
        <v>0</v>
      </c>
      <c r="I97" s="124">
        <v>0</v>
      </c>
      <c r="J97" s="124">
        <v>13082.21</v>
      </c>
      <c r="K97" s="124">
        <v>4380.71</v>
      </c>
      <c r="L97" s="124">
        <v>0</v>
      </c>
      <c r="M97" s="124">
        <v>13082.21</v>
      </c>
      <c r="N97" s="124">
        <v>4380.71</v>
      </c>
      <c r="O97" s="124">
        <v>30000</v>
      </c>
      <c r="P97" s="85">
        <f t="shared" si="0"/>
        <v>30000</v>
      </c>
      <c r="Q97" s="124">
        <v>0</v>
      </c>
      <c r="R97" s="124">
        <v>30000</v>
      </c>
      <c r="S97" s="124">
        <v>30000</v>
      </c>
      <c r="T97" s="85">
        <f t="shared" si="1"/>
        <v>30000</v>
      </c>
      <c r="U97" s="124">
        <v>0</v>
      </c>
      <c r="V97" s="124">
        <v>0</v>
      </c>
      <c r="W97" s="124">
        <v>0</v>
      </c>
      <c r="X97" s="124">
        <v>0</v>
      </c>
      <c r="Y97" s="85">
        <f t="shared" si="2"/>
        <v>30000</v>
      </c>
    </row>
    <row r="98" spans="2:25" ht="14.25" customHeight="1">
      <c r="B98" s="17" t="s">
        <v>193</v>
      </c>
      <c r="C98" s="8" t="s">
        <v>194</v>
      </c>
      <c r="D98" s="124">
        <v>456098</v>
      </c>
      <c r="E98" s="124">
        <v>175000</v>
      </c>
      <c r="F98" s="124">
        <v>20000</v>
      </c>
      <c r="G98" s="124">
        <v>1080056.06</v>
      </c>
      <c r="H98" s="124">
        <v>623958.06</v>
      </c>
      <c r="I98" s="124">
        <v>50215.05</v>
      </c>
      <c r="J98" s="124">
        <v>91425.64</v>
      </c>
      <c r="K98" s="124">
        <v>663616.27</v>
      </c>
      <c r="L98" s="124">
        <v>45340.05</v>
      </c>
      <c r="M98" s="124">
        <v>97425.64</v>
      </c>
      <c r="N98" s="124">
        <v>39658.21</v>
      </c>
      <c r="O98" s="124">
        <v>698673.5</v>
      </c>
      <c r="P98" s="85">
        <f t="shared" si="0"/>
        <v>698673.5</v>
      </c>
      <c r="Q98" s="124">
        <v>51340.05</v>
      </c>
      <c r="R98" s="124">
        <v>87875.17</v>
      </c>
      <c r="S98" s="124">
        <v>78673.5</v>
      </c>
      <c r="T98" s="85">
        <f t="shared" si="1"/>
        <v>78673.5</v>
      </c>
      <c r="U98" s="124">
        <v>1125</v>
      </c>
      <c r="V98" s="124">
        <v>6000</v>
      </c>
      <c r="W98" s="124">
        <v>0</v>
      </c>
      <c r="X98" s="124">
        <v>0</v>
      </c>
      <c r="Y98" s="85">
        <f t="shared" si="2"/>
        <v>698673.5</v>
      </c>
    </row>
    <row r="99" spans="2:25" ht="14.25" customHeight="1">
      <c r="B99" s="17" t="s">
        <v>195</v>
      </c>
      <c r="C99" s="8" t="s">
        <v>196</v>
      </c>
      <c r="D99" s="124">
        <v>680146.7</v>
      </c>
      <c r="E99" s="124">
        <v>417000</v>
      </c>
      <c r="F99" s="124">
        <v>351000</v>
      </c>
      <c r="G99" s="124">
        <v>682230.24</v>
      </c>
      <c r="H99" s="124">
        <v>2083.54</v>
      </c>
      <c r="I99" s="124">
        <v>337126.41</v>
      </c>
      <c r="J99" s="124">
        <v>571856.42</v>
      </c>
      <c r="K99" s="124">
        <v>484088.38</v>
      </c>
      <c r="L99" s="124">
        <v>336654.19</v>
      </c>
      <c r="M99" s="124">
        <v>573328.95</v>
      </c>
      <c r="N99" s="124">
        <v>482985.95</v>
      </c>
      <c r="O99" s="124">
        <v>464486.04</v>
      </c>
      <c r="P99" s="85">
        <f t="shared" si="0"/>
        <v>464975.55</v>
      </c>
      <c r="Q99" s="124">
        <v>799085.48</v>
      </c>
      <c r="R99" s="124">
        <v>1210851.28</v>
      </c>
      <c r="S99" s="124">
        <v>463581.5</v>
      </c>
      <c r="T99" s="85">
        <f t="shared" si="1"/>
        <v>463581.5</v>
      </c>
      <c r="U99" s="124">
        <v>1489.82</v>
      </c>
      <c r="V99" s="124">
        <v>1962.04</v>
      </c>
      <c r="W99" s="124">
        <v>981.11</v>
      </c>
      <c r="X99" s="124">
        <v>489.51</v>
      </c>
      <c r="Y99" s="85">
        <f t="shared" si="2"/>
        <v>464486.04</v>
      </c>
    </row>
    <row r="100" spans="2:25" ht="14.25" customHeight="1">
      <c r="B100" s="18" t="s">
        <v>197</v>
      </c>
      <c r="C100" s="19" t="s">
        <v>198</v>
      </c>
      <c r="D100" s="124">
        <v>3894261.2</v>
      </c>
      <c r="E100" s="124">
        <v>1737000</v>
      </c>
      <c r="F100" s="124">
        <v>616000</v>
      </c>
      <c r="G100" s="124">
        <v>5704385.83</v>
      </c>
      <c r="H100" s="124">
        <v>1810124.63</v>
      </c>
      <c r="I100" s="124">
        <v>459116.08</v>
      </c>
      <c r="J100" s="124">
        <v>1056304.41</v>
      </c>
      <c r="K100" s="124">
        <v>2606804.78</v>
      </c>
      <c r="L100" s="124">
        <v>453768.86</v>
      </c>
      <c r="M100" s="124">
        <v>973514.8</v>
      </c>
      <c r="N100" s="124">
        <v>883866.34</v>
      </c>
      <c r="O100" s="124">
        <v>2848274.54</v>
      </c>
      <c r="P100" s="85">
        <f t="shared" si="0"/>
        <v>2939026.19</v>
      </c>
      <c r="Q100" s="124">
        <v>922200.15</v>
      </c>
      <c r="R100" s="124">
        <v>1780262.7</v>
      </c>
      <c r="S100" s="124">
        <v>2311632.14</v>
      </c>
      <c r="T100" s="85">
        <f t="shared" si="1"/>
        <v>2311632.14</v>
      </c>
      <c r="U100" s="124">
        <v>2614.82</v>
      </c>
      <c r="V100" s="124">
        <v>7962.04</v>
      </c>
      <c r="W100" s="124">
        <v>87186.19</v>
      </c>
      <c r="X100" s="124">
        <v>90751.65</v>
      </c>
      <c r="Y100" s="85">
        <f t="shared" si="2"/>
        <v>2848274.54</v>
      </c>
    </row>
    <row r="101" spans="2:25" ht="14.25" customHeight="1">
      <c r="B101" s="17" t="s">
        <v>199</v>
      </c>
      <c r="C101" s="8" t="s">
        <v>200</v>
      </c>
      <c r="D101" s="124">
        <v>0</v>
      </c>
      <c r="E101" s="124">
        <v>0</v>
      </c>
      <c r="F101" s="124">
        <v>0</v>
      </c>
      <c r="G101" s="124">
        <v>0</v>
      </c>
      <c r="H101" s="124">
        <v>0</v>
      </c>
      <c r="I101" s="124">
        <v>0</v>
      </c>
      <c r="J101" s="124">
        <v>0</v>
      </c>
      <c r="K101" s="124">
        <v>0</v>
      </c>
      <c r="L101" s="124">
        <v>0</v>
      </c>
      <c r="M101" s="124">
        <v>0</v>
      </c>
      <c r="N101" s="124">
        <v>0</v>
      </c>
      <c r="O101" s="124">
        <v>0</v>
      </c>
      <c r="P101" s="85">
        <f t="shared" si="0"/>
        <v>0</v>
      </c>
      <c r="Q101" s="124">
        <v>0</v>
      </c>
      <c r="R101" s="124">
        <v>0</v>
      </c>
      <c r="S101" s="124">
        <v>0</v>
      </c>
      <c r="T101" s="85">
        <f t="shared" si="1"/>
        <v>0</v>
      </c>
      <c r="U101" s="124">
        <v>0</v>
      </c>
      <c r="V101" s="124">
        <v>0</v>
      </c>
      <c r="W101" s="124">
        <v>0</v>
      </c>
      <c r="X101" s="124">
        <v>0</v>
      </c>
      <c r="Y101" s="85">
        <f t="shared" si="2"/>
        <v>0</v>
      </c>
    </row>
    <row r="102" spans="2:25" ht="14.25" customHeight="1">
      <c r="B102" s="17" t="s">
        <v>201</v>
      </c>
      <c r="C102" s="8" t="s">
        <v>202</v>
      </c>
      <c r="D102" s="124">
        <v>0</v>
      </c>
      <c r="E102" s="124">
        <v>0</v>
      </c>
      <c r="F102" s="124">
        <v>0</v>
      </c>
      <c r="G102" s="124">
        <v>0</v>
      </c>
      <c r="H102" s="124">
        <v>0</v>
      </c>
      <c r="I102" s="124">
        <v>0</v>
      </c>
      <c r="J102" s="124">
        <v>0</v>
      </c>
      <c r="K102" s="124">
        <v>0</v>
      </c>
      <c r="L102" s="124">
        <v>0</v>
      </c>
      <c r="M102" s="124">
        <v>0</v>
      </c>
      <c r="N102" s="124">
        <v>0</v>
      </c>
      <c r="O102" s="124">
        <v>0</v>
      </c>
      <c r="P102" s="85">
        <f t="shared" si="0"/>
        <v>0</v>
      </c>
      <c r="Q102" s="124">
        <v>0</v>
      </c>
      <c r="R102" s="124">
        <v>0</v>
      </c>
      <c r="S102" s="124">
        <v>0</v>
      </c>
      <c r="T102" s="85">
        <f t="shared" si="1"/>
        <v>0</v>
      </c>
      <c r="U102" s="124">
        <v>0</v>
      </c>
      <c r="V102" s="124">
        <v>0</v>
      </c>
      <c r="W102" s="124">
        <v>0</v>
      </c>
      <c r="X102" s="124">
        <v>0</v>
      </c>
      <c r="Y102" s="85">
        <f t="shared" si="2"/>
        <v>0</v>
      </c>
    </row>
    <row r="103" spans="2:25" ht="14.25" customHeight="1">
      <c r="B103" s="17" t="s">
        <v>203</v>
      </c>
      <c r="C103" s="8" t="s">
        <v>204</v>
      </c>
      <c r="D103" s="124">
        <v>0</v>
      </c>
      <c r="E103" s="124">
        <v>0</v>
      </c>
      <c r="F103" s="124">
        <v>0</v>
      </c>
      <c r="G103" s="124">
        <v>0</v>
      </c>
      <c r="H103" s="124">
        <v>0</v>
      </c>
      <c r="I103" s="124">
        <v>0</v>
      </c>
      <c r="J103" s="124">
        <v>0</v>
      </c>
      <c r="K103" s="124">
        <v>0</v>
      </c>
      <c r="L103" s="124">
        <v>0</v>
      </c>
      <c r="M103" s="124">
        <v>0</v>
      </c>
      <c r="N103" s="124">
        <v>0</v>
      </c>
      <c r="O103" s="124">
        <v>0</v>
      </c>
      <c r="P103" s="85">
        <f t="shared" si="0"/>
        <v>0</v>
      </c>
      <c r="Q103" s="124">
        <v>0</v>
      </c>
      <c r="R103" s="124">
        <v>0</v>
      </c>
      <c r="S103" s="124">
        <v>0</v>
      </c>
      <c r="T103" s="85">
        <f t="shared" si="1"/>
        <v>0</v>
      </c>
      <c r="U103" s="124">
        <v>0</v>
      </c>
      <c r="V103" s="124">
        <v>0</v>
      </c>
      <c r="W103" s="124">
        <v>0</v>
      </c>
      <c r="X103" s="124">
        <v>0</v>
      </c>
      <c r="Y103" s="85">
        <f t="shared" si="2"/>
        <v>0</v>
      </c>
    </row>
    <row r="104" spans="2:25" ht="14.25" customHeight="1">
      <c r="B104" s="17" t="s">
        <v>205</v>
      </c>
      <c r="C104" s="8" t="s">
        <v>206</v>
      </c>
      <c r="D104" s="124">
        <v>0</v>
      </c>
      <c r="E104" s="124">
        <v>0</v>
      </c>
      <c r="F104" s="124">
        <v>0</v>
      </c>
      <c r="G104" s="124">
        <v>0</v>
      </c>
      <c r="H104" s="124">
        <v>0</v>
      </c>
      <c r="I104" s="124">
        <v>0</v>
      </c>
      <c r="J104" s="124">
        <v>0</v>
      </c>
      <c r="K104" s="124">
        <v>0</v>
      </c>
      <c r="L104" s="124">
        <v>0</v>
      </c>
      <c r="M104" s="124">
        <v>0</v>
      </c>
      <c r="N104" s="124">
        <v>0</v>
      </c>
      <c r="O104" s="124">
        <v>0</v>
      </c>
      <c r="P104" s="85">
        <f t="shared" si="0"/>
        <v>0</v>
      </c>
      <c r="Q104" s="124">
        <v>0</v>
      </c>
      <c r="R104" s="124">
        <v>0</v>
      </c>
      <c r="S104" s="124">
        <v>0</v>
      </c>
      <c r="T104" s="85">
        <f t="shared" si="1"/>
        <v>0</v>
      </c>
      <c r="U104" s="124">
        <v>0</v>
      </c>
      <c r="V104" s="124">
        <v>0</v>
      </c>
      <c r="W104" s="124">
        <v>0</v>
      </c>
      <c r="X104" s="124">
        <v>0</v>
      </c>
      <c r="Y104" s="85">
        <f t="shared" si="2"/>
        <v>0</v>
      </c>
    </row>
    <row r="105" spans="2:25" ht="14.25" customHeight="1">
      <c r="B105" s="18" t="s">
        <v>207</v>
      </c>
      <c r="C105" s="19" t="s">
        <v>208</v>
      </c>
      <c r="D105" s="124">
        <v>0</v>
      </c>
      <c r="E105" s="124">
        <v>0</v>
      </c>
      <c r="F105" s="124">
        <v>0</v>
      </c>
      <c r="G105" s="124">
        <v>0</v>
      </c>
      <c r="H105" s="124">
        <v>0</v>
      </c>
      <c r="I105" s="124">
        <v>0</v>
      </c>
      <c r="J105" s="124">
        <v>0</v>
      </c>
      <c r="K105" s="124">
        <v>0</v>
      </c>
      <c r="L105" s="124">
        <v>0</v>
      </c>
      <c r="M105" s="124">
        <v>0</v>
      </c>
      <c r="N105" s="124">
        <v>0</v>
      </c>
      <c r="O105" s="124">
        <v>0</v>
      </c>
      <c r="P105" s="85">
        <f t="shared" si="0"/>
        <v>0</v>
      </c>
      <c r="Q105" s="124">
        <v>0</v>
      </c>
      <c r="R105" s="124">
        <v>0</v>
      </c>
      <c r="S105" s="124">
        <v>0</v>
      </c>
      <c r="T105" s="85">
        <f t="shared" si="1"/>
        <v>0</v>
      </c>
      <c r="U105" s="124">
        <v>0</v>
      </c>
      <c r="V105" s="124">
        <v>0</v>
      </c>
      <c r="W105" s="124">
        <v>0</v>
      </c>
      <c r="X105" s="124">
        <v>0</v>
      </c>
      <c r="Y105" s="85">
        <f t="shared" si="2"/>
        <v>0</v>
      </c>
    </row>
    <row r="106" spans="2:25" ht="14.25" customHeight="1">
      <c r="B106" s="17" t="s">
        <v>209</v>
      </c>
      <c r="C106" s="8" t="s">
        <v>210</v>
      </c>
      <c r="D106" s="124">
        <v>0</v>
      </c>
      <c r="E106" s="124">
        <v>0</v>
      </c>
      <c r="F106" s="124">
        <v>0</v>
      </c>
      <c r="G106" s="124">
        <v>0</v>
      </c>
      <c r="H106" s="124">
        <v>0</v>
      </c>
      <c r="I106" s="124">
        <v>0</v>
      </c>
      <c r="J106" s="124">
        <v>0</v>
      </c>
      <c r="K106" s="124">
        <v>0</v>
      </c>
      <c r="L106" s="124">
        <v>0</v>
      </c>
      <c r="M106" s="124">
        <v>0</v>
      </c>
      <c r="N106" s="124">
        <v>0</v>
      </c>
      <c r="O106" s="124">
        <v>0</v>
      </c>
      <c r="P106" s="85">
        <f t="shared" si="0"/>
        <v>0</v>
      </c>
      <c r="Q106" s="124">
        <v>0</v>
      </c>
      <c r="R106" s="124">
        <v>0</v>
      </c>
      <c r="S106" s="124">
        <v>0</v>
      </c>
      <c r="T106" s="85">
        <f t="shared" si="1"/>
        <v>0</v>
      </c>
      <c r="U106" s="124">
        <v>0</v>
      </c>
      <c r="V106" s="124">
        <v>0</v>
      </c>
      <c r="W106" s="124">
        <v>0</v>
      </c>
      <c r="X106" s="124">
        <v>0</v>
      </c>
      <c r="Y106" s="85">
        <f t="shared" si="2"/>
        <v>0</v>
      </c>
    </row>
    <row r="107" spans="2:25" ht="14.25" customHeight="1">
      <c r="B107" s="17" t="s">
        <v>211</v>
      </c>
      <c r="C107" s="8" t="s">
        <v>212</v>
      </c>
      <c r="D107" s="124">
        <v>0</v>
      </c>
      <c r="E107" s="124">
        <v>0</v>
      </c>
      <c r="F107" s="124">
        <v>0</v>
      </c>
      <c r="G107" s="124">
        <v>0</v>
      </c>
      <c r="H107" s="124">
        <v>0</v>
      </c>
      <c r="I107" s="124">
        <v>0</v>
      </c>
      <c r="J107" s="124">
        <v>0</v>
      </c>
      <c r="K107" s="124">
        <v>0</v>
      </c>
      <c r="L107" s="124">
        <v>0</v>
      </c>
      <c r="M107" s="124">
        <v>0</v>
      </c>
      <c r="N107" s="124">
        <v>0</v>
      </c>
      <c r="O107" s="124">
        <v>0</v>
      </c>
      <c r="P107" s="85">
        <f t="shared" si="0"/>
        <v>0</v>
      </c>
      <c r="Q107" s="124">
        <v>0</v>
      </c>
      <c r="R107" s="124">
        <v>0</v>
      </c>
      <c r="S107" s="124">
        <v>0</v>
      </c>
      <c r="T107" s="85">
        <f t="shared" si="1"/>
        <v>0</v>
      </c>
      <c r="U107" s="124">
        <v>0</v>
      </c>
      <c r="V107" s="124">
        <v>0</v>
      </c>
      <c r="W107" s="124">
        <v>0</v>
      </c>
      <c r="X107" s="124">
        <v>0</v>
      </c>
      <c r="Y107" s="85">
        <f t="shared" si="2"/>
        <v>0</v>
      </c>
    </row>
    <row r="108" spans="2:25" ht="14.25" customHeight="1">
      <c r="B108" s="17" t="s">
        <v>213</v>
      </c>
      <c r="C108" s="8" t="s">
        <v>214</v>
      </c>
      <c r="D108" s="124">
        <v>147000</v>
      </c>
      <c r="E108" s="124">
        <v>250000</v>
      </c>
      <c r="F108" s="124">
        <v>250000</v>
      </c>
      <c r="G108" s="124">
        <v>147000</v>
      </c>
      <c r="H108" s="124">
        <v>0</v>
      </c>
      <c r="I108" s="124">
        <v>0</v>
      </c>
      <c r="J108" s="124">
        <v>0</v>
      </c>
      <c r="K108" s="124">
        <v>0</v>
      </c>
      <c r="L108" s="124">
        <v>0</v>
      </c>
      <c r="M108" s="124">
        <v>0</v>
      </c>
      <c r="N108" s="124">
        <v>0</v>
      </c>
      <c r="O108" s="124">
        <v>0</v>
      </c>
      <c r="P108" s="85">
        <f t="shared" si="0"/>
        <v>0</v>
      </c>
      <c r="Q108" s="124">
        <v>0</v>
      </c>
      <c r="R108" s="124">
        <v>0</v>
      </c>
      <c r="S108" s="124">
        <v>0</v>
      </c>
      <c r="T108" s="85">
        <f t="shared" si="1"/>
        <v>0</v>
      </c>
      <c r="U108" s="124">
        <v>0</v>
      </c>
      <c r="V108" s="124">
        <v>0</v>
      </c>
      <c r="W108" s="124">
        <v>0</v>
      </c>
      <c r="X108" s="124">
        <v>0</v>
      </c>
      <c r="Y108" s="85">
        <f t="shared" si="2"/>
        <v>0</v>
      </c>
    </row>
    <row r="109" spans="2:25" ht="14.25" customHeight="1">
      <c r="B109" s="17" t="s">
        <v>215</v>
      </c>
      <c r="C109" s="8" t="s">
        <v>216</v>
      </c>
      <c r="D109" s="124">
        <v>0</v>
      </c>
      <c r="E109" s="124">
        <v>0</v>
      </c>
      <c r="F109" s="124">
        <v>0</v>
      </c>
      <c r="G109" s="124">
        <v>0</v>
      </c>
      <c r="H109" s="124">
        <v>0</v>
      </c>
      <c r="I109" s="124">
        <v>0</v>
      </c>
      <c r="J109" s="124">
        <v>0</v>
      </c>
      <c r="K109" s="124">
        <v>0</v>
      </c>
      <c r="L109" s="124">
        <v>0</v>
      </c>
      <c r="M109" s="124">
        <v>0</v>
      </c>
      <c r="N109" s="124">
        <v>0</v>
      </c>
      <c r="O109" s="124">
        <v>0</v>
      </c>
      <c r="P109" s="85">
        <f t="shared" si="0"/>
        <v>0</v>
      </c>
      <c r="Q109" s="124">
        <v>0</v>
      </c>
      <c r="R109" s="124">
        <v>0</v>
      </c>
      <c r="S109" s="124">
        <v>0</v>
      </c>
      <c r="T109" s="85">
        <f t="shared" si="1"/>
        <v>0</v>
      </c>
      <c r="U109" s="124">
        <v>0</v>
      </c>
      <c r="V109" s="124">
        <v>0</v>
      </c>
      <c r="W109" s="124">
        <v>0</v>
      </c>
      <c r="X109" s="124">
        <v>0</v>
      </c>
      <c r="Y109" s="85">
        <f t="shared" si="2"/>
        <v>0</v>
      </c>
    </row>
    <row r="110" spans="2:25" ht="14.25" customHeight="1">
      <c r="B110" s="18" t="s">
        <v>217</v>
      </c>
      <c r="C110" s="19" t="s">
        <v>218</v>
      </c>
      <c r="D110" s="124">
        <v>147000</v>
      </c>
      <c r="E110" s="124">
        <v>250000</v>
      </c>
      <c r="F110" s="124">
        <v>250000</v>
      </c>
      <c r="G110" s="124">
        <v>147000</v>
      </c>
      <c r="H110" s="124">
        <v>0</v>
      </c>
      <c r="I110" s="124">
        <v>0</v>
      </c>
      <c r="J110" s="124">
        <v>0</v>
      </c>
      <c r="K110" s="124">
        <v>0</v>
      </c>
      <c r="L110" s="124">
        <v>0</v>
      </c>
      <c r="M110" s="124">
        <v>0</v>
      </c>
      <c r="N110" s="124">
        <v>0</v>
      </c>
      <c r="O110" s="124">
        <v>0</v>
      </c>
      <c r="P110" s="85">
        <f t="shared" si="0"/>
        <v>0</v>
      </c>
      <c r="Q110" s="124">
        <v>0</v>
      </c>
      <c r="R110" s="124">
        <v>0</v>
      </c>
      <c r="S110" s="124">
        <v>0</v>
      </c>
      <c r="T110" s="85">
        <f t="shared" si="1"/>
        <v>0</v>
      </c>
      <c r="U110" s="124">
        <v>0</v>
      </c>
      <c r="V110" s="124">
        <v>0</v>
      </c>
      <c r="W110" s="124">
        <v>0</v>
      </c>
      <c r="X110" s="124">
        <v>0</v>
      </c>
      <c r="Y110" s="85">
        <f t="shared" si="2"/>
        <v>0</v>
      </c>
    </row>
    <row r="111" spans="2:25" ht="14.25" customHeight="1">
      <c r="B111" s="17" t="s">
        <v>219</v>
      </c>
      <c r="C111" s="8" t="s">
        <v>220</v>
      </c>
      <c r="D111" s="124">
        <v>2859303.63</v>
      </c>
      <c r="E111" s="124">
        <v>2242379.81</v>
      </c>
      <c r="F111" s="124">
        <v>2259115.34</v>
      </c>
      <c r="G111" s="124">
        <v>0</v>
      </c>
      <c r="H111" s="124">
        <v>0</v>
      </c>
      <c r="I111" s="124">
        <v>0</v>
      </c>
      <c r="J111" s="124">
        <v>0</v>
      </c>
      <c r="K111" s="124">
        <v>0</v>
      </c>
      <c r="L111" s="124">
        <v>0</v>
      </c>
      <c r="M111" s="124">
        <v>0</v>
      </c>
      <c r="N111" s="124">
        <v>0</v>
      </c>
      <c r="O111" s="124">
        <v>3665034.58</v>
      </c>
      <c r="P111" s="85">
        <f t="shared" si="0"/>
        <v>3665034.58</v>
      </c>
      <c r="Q111" s="124">
        <v>3421376.6</v>
      </c>
      <c r="R111" s="124">
        <v>0</v>
      </c>
      <c r="S111" s="124">
        <v>0</v>
      </c>
      <c r="T111" s="85">
        <f t="shared" si="1"/>
        <v>0</v>
      </c>
      <c r="U111" s="124">
        <v>0</v>
      </c>
      <c r="V111" s="124">
        <v>0</v>
      </c>
      <c r="W111" s="124">
        <v>0</v>
      </c>
      <c r="X111" s="124">
        <v>0</v>
      </c>
      <c r="Y111" s="85">
        <f t="shared" si="2"/>
        <v>3665034.58</v>
      </c>
    </row>
    <row r="112" spans="2:25" ht="14.25" customHeight="1">
      <c r="B112" s="21" t="s">
        <v>221</v>
      </c>
      <c r="C112" s="19" t="s">
        <v>222</v>
      </c>
      <c r="D112" s="124">
        <v>2859303.63</v>
      </c>
      <c r="E112" s="124">
        <v>2242379.81</v>
      </c>
      <c r="F112" s="124">
        <v>2259115.34</v>
      </c>
      <c r="G112" s="124">
        <v>0</v>
      </c>
      <c r="H112" s="124">
        <v>0</v>
      </c>
      <c r="I112" s="124">
        <v>0</v>
      </c>
      <c r="J112" s="124">
        <v>0</v>
      </c>
      <c r="K112" s="124">
        <v>0</v>
      </c>
      <c r="L112" s="124">
        <v>0</v>
      </c>
      <c r="M112" s="124">
        <v>0</v>
      </c>
      <c r="N112" s="124">
        <v>0</v>
      </c>
      <c r="O112" s="124">
        <v>3665034.58</v>
      </c>
      <c r="P112" s="85">
        <f t="shared" si="0"/>
        <v>3665034.58</v>
      </c>
      <c r="Q112" s="124">
        <v>3421376.6</v>
      </c>
      <c r="R112" s="124">
        <v>0</v>
      </c>
      <c r="S112" s="124">
        <v>0</v>
      </c>
      <c r="T112" s="85">
        <f t="shared" si="1"/>
        <v>0</v>
      </c>
      <c r="U112" s="124">
        <v>0</v>
      </c>
      <c r="V112" s="124">
        <v>0</v>
      </c>
      <c r="W112" s="124">
        <v>0</v>
      </c>
      <c r="X112" s="124">
        <v>0</v>
      </c>
      <c r="Y112" s="85">
        <f t="shared" si="2"/>
        <v>3665034.58</v>
      </c>
    </row>
    <row r="113" spans="2:25" ht="14.25" customHeight="1">
      <c r="B113" s="17" t="s">
        <v>223</v>
      </c>
      <c r="C113" s="8" t="s">
        <v>224</v>
      </c>
      <c r="D113" s="124">
        <v>3442000</v>
      </c>
      <c r="E113" s="124">
        <v>1842000</v>
      </c>
      <c r="F113" s="124">
        <v>1842000</v>
      </c>
      <c r="G113" s="124">
        <v>3442251.29</v>
      </c>
      <c r="H113" s="124">
        <v>251.29</v>
      </c>
      <c r="I113" s="124">
        <v>1005141.75</v>
      </c>
      <c r="J113" s="124">
        <v>1094148.12</v>
      </c>
      <c r="K113" s="124">
        <v>1058468.65</v>
      </c>
      <c r="L113" s="124">
        <v>1004665.83</v>
      </c>
      <c r="M113" s="124">
        <v>1095496.35</v>
      </c>
      <c r="N113" s="124">
        <v>1058622.67</v>
      </c>
      <c r="O113" s="124">
        <v>1242000</v>
      </c>
      <c r="P113" s="85">
        <f t="shared" si="0"/>
        <v>1242405.31</v>
      </c>
      <c r="Q113" s="124">
        <v>2389801.64</v>
      </c>
      <c r="R113" s="124">
        <v>1538543.42</v>
      </c>
      <c r="S113" s="124">
        <v>1242289.11</v>
      </c>
      <c r="T113" s="85">
        <f t="shared" si="1"/>
        <v>1242289.11</v>
      </c>
      <c r="U113" s="124">
        <v>1277.62</v>
      </c>
      <c r="V113" s="124">
        <v>1753.54</v>
      </c>
      <c r="W113" s="124">
        <v>405.31</v>
      </c>
      <c r="X113" s="124">
        <v>405.31</v>
      </c>
      <c r="Y113" s="85">
        <f t="shared" si="2"/>
        <v>1242000</v>
      </c>
    </row>
    <row r="114" spans="2:25" ht="14.25" customHeight="1">
      <c r="B114" s="17" t="s">
        <v>225</v>
      </c>
      <c r="C114" s="8" t="s">
        <v>226</v>
      </c>
      <c r="D114" s="124">
        <v>370000</v>
      </c>
      <c r="E114" s="124">
        <v>370000</v>
      </c>
      <c r="F114" s="124">
        <v>370000</v>
      </c>
      <c r="G114" s="124">
        <v>370827.61</v>
      </c>
      <c r="H114" s="124">
        <v>827.61</v>
      </c>
      <c r="I114" s="124">
        <v>101176.19</v>
      </c>
      <c r="J114" s="124">
        <v>119552.03</v>
      </c>
      <c r="K114" s="124">
        <v>110421.94</v>
      </c>
      <c r="L114" s="124">
        <v>96920.06</v>
      </c>
      <c r="M114" s="124">
        <v>122096.69</v>
      </c>
      <c r="N114" s="124">
        <v>114624.25</v>
      </c>
      <c r="O114" s="124">
        <v>297000</v>
      </c>
      <c r="P114" s="85">
        <f t="shared" si="0"/>
        <v>302029.92</v>
      </c>
      <c r="Q114" s="124">
        <v>325318.45</v>
      </c>
      <c r="R114" s="124">
        <v>325774.58</v>
      </c>
      <c r="S114" s="124">
        <v>302029.92</v>
      </c>
      <c r="T114" s="85">
        <f t="shared" si="1"/>
        <v>302029.92</v>
      </c>
      <c r="U114" s="124">
        <v>3318.45</v>
      </c>
      <c r="V114" s="124">
        <v>7574.58</v>
      </c>
      <c r="W114" s="124">
        <v>5029.92</v>
      </c>
      <c r="X114" s="124">
        <v>5029.92</v>
      </c>
      <c r="Y114" s="85">
        <f t="shared" si="2"/>
        <v>297000</v>
      </c>
    </row>
    <row r="115" spans="2:25" ht="14.25" customHeight="1">
      <c r="B115" s="18">
        <v>90000</v>
      </c>
      <c r="C115" s="19" t="s">
        <v>227</v>
      </c>
      <c r="D115" s="124">
        <v>3812000</v>
      </c>
      <c r="E115" s="124">
        <v>2212000</v>
      </c>
      <c r="F115" s="124">
        <v>2212000</v>
      </c>
      <c r="G115" s="124">
        <v>3813078.9</v>
      </c>
      <c r="H115" s="124">
        <v>1078.9</v>
      </c>
      <c r="I115" s="124">
        <v>1106317.94</v>
      </c>
      <c r="J115" s="124">
        <v>1213700.15</v>
      </c>
      <c r="K115" s="124">
        <v>1168890.59</v>
      </c>
      <c r="L115" s="124">
        <v>1101585.89</v>
      </c>
      <c r="M115" s="124">
        <v>1217593.04</v>
      </c>
      <c r="N115" s="124">
        <v>1173246.92</v>
      </c>
      <c r="O115" s="124">
        <v>1539000</v>
      </c>
      <c r="P115" s="85">
        <f t="shared" si="0"/>
        <v>1544435.23</v>
      </c>
      <c r="Q115" s="124">
        <v>2715120.09</v>
      </c>
      <c r="R115" s="124">
        <v>1864318</v>
      </c>
      <c r="S115" s="124">
        <v>1544319.03</v>
      </c>
      <c r="T115" s="85">
        <f t="shared" si="1"/>
        <v>1544319.03</v>
      </c>
      <c r="U115" s="124">
        <v>4596.07</v>
      </c>
      <c r="V115" s="124">
        <v>9328.12</v>
      </c>
      <c r="W115" s="124">
        <v>5435.23</v>
      </c>
      <c r="X115" s="124">
        <v>5435.23</v>
      </c>
      <c r="Y115" s="85">
        <f t="shared" si="2"/>
        <v>1539000</v>
      </c>
    </row>
    <row r="116" spans="2:25" ht="15.75" customHeight="1">
      <c r="B116" s="22" t="s">
        <v>228</v>
      </c>
      <c r="C116" s="23" t="s">
        <v>229</v>
      </c>
      <c r="D116" s="41">
        <f>D82+D88+D94+D100+D105+D110+D112+D115</f>
        <v>19749026.189999998</v>
      </c>
      <c r="E116" s="41">
        <f aca="true" t="shared" si="3" ref="E116:N116">E82+E88+E94+E100+E105+E110+E112+E115</f>
        <v>15250612.91</v>
      </c>
      <c r="F116" s="41">
        <f t="shared" si="3"/>
        <v>14159812.44</v>
      </c>
      <c r="G116" s="41">
        <f t="shared" si="3"/>
        <v>19857304.34</v>
      </c>
      <c r="H116" s="41">
        <f t="shared" si="3"/>
        <v>5112621.85</v>
      </c>
      <c r="I116" s="41">
        <f t="shared" si="3"/>
        <v>10361517.02</v>
      </c>
      <c r="J116" s="41">
        <f t="shared" si="3"/>
        <v>10847915.450000001</v>
      </c>
      <c r="K116" s="41">
        <f t="shared" si="3"/>
        <v>12475836.749999998</v>
      </c>
      <c r="L116" s="41">
        <f t="shared" si="3"/>
        <v>10220915.01</v>
      </c>
      <c r="M116" s="41">
        <f t="shared" si="3"/>
        <v>9916266.010000002</v>
      </c>
      <c r="N116" s="41">
        <f t="shared" si="3"/>
        <v>11235763.11</v>
      </c>
      <c r="O116" s="41">
        <f aca="true" t="shared" si="4" ref="O116:Y116">O82+O88+O94+O100+O105+O110+O112+O115</f>
        <v>17021828.339999996</v>
      </c>
      <c r="P116" s="41">
        <f t="shared" si="4"/>
        <v>20887687.540000003</v>
      </c>
      <c r="Q116" s="41">
        <f t="shared" si="4"/>
        <v>16566037.18</v>
      </c>
      <c r="R116" s="41">
        <f t="shared" si="4"/>
        <v>14276296.969999999</v>
      </c>
      <c r="S116" s="41">
        <f t="shared" si="4"/>
        <v>13983543.38</v>
      </c>
      <c r="T116" s="41">
        <f t="shared" si="4"/>
        <v>13983543.38</v>
      </c>
      <c r="U116" s="41">
        <f t="shared" si="4"/>
        <v>2758355.67</v>
      </c>
      <c r="V116" s="41">
        <f t="shared" si="4"/>
        <v>2934209.7600000002</v>
      </c>
      <c r="W116" s="41">
        <f t="shared" si="4"/>
        <v>3872548.21</v>
      </c>
      <c r="X116" s="41">
        <f t="shared" si="4"/>
        <v>3865859.2</v>
      </c>
      <c r="Y116" s="41">
        <f t="shared" si="4"/>
        <v>17021828.339999996</v>
      </c>
    </row>
    <row r="119" spans="1:17" ht="13.5" customHeight="1">
      <c r="A119" s="132" t="s">
        <v>230</v>
      </c>
      <c r="B119" s="132"/>
      <c r="C119" s="132"/>
      <c r="D119" s="132"/>
      <c r="E119" s="132"/>
      <c r="F119" s="132"/>
      <c r="G119" s="132"/>
      <c r="H119" s="132"/>
      <c r="I119" s="132"/>
      <c r="J119" s="132"/>
      <c r="K119" s="132"/>
      <c r="L119" s="132"/>
      <c r="M119" s="132"/>
      <c r="N119" s="132"/>
      <c r="O119" s="132"/>
      <c r="P119" s="132"/>
      <c r="Q119" s="132"/>
    </row>
    <row r="120" spans="1:17" ht="13.5" customHeight="1">
      <c r="A120" s="132"/>
      <c r="B120" s="132"/>
      <c r="C120" s="132"/>
      <c r="D120" s="132"/>
      <c r="E120" s="132"/>
      <c r="F120" s="132"/>
      <c r="G120" s="132"/>
      <c r="H120" s="132"/>
      <c r="I120" s="132"/>
      <c r="J120" s="132"/>
      <c r="K120" s="132"/>
      <c r="L120" s="132"/>
      <c r="M120" s="132"/>
      <c r="N120" s="132"/>
      <c r="O120" s="132"/>
      <c r="P120" s="132"/>
      <c r="Q120" s="132"/>
    </row>
    <row r="121" spans="3:33" ht="14.25" customHeight="1">
      <c r="C121" s="15"/>
      <c r="D121" s="4" t="s">
        <v>1</v>
      </c>
      <c r="E121" s="4" t="s">
        <v>1</v>
      </c>
      <c r="F121" s="4" t="s">
        <v>1</v>
      </c>
      <c r="G121" s="4" t="s">
        <v>1</v>
      </c>
      <c r="H121" s="4" t="s">
        <v>1</v>
      </c>
      <c r="I121" s="4" t="s">
        <v>1</v>
      </c>
      <c r="J121" s="4" t="s">
        <v>1</v>
      </c>
      <c r="K121" s="4" t="s">
        <v>1</v>
      </c>
      <c r="L121" s="5" t="s">
        <v>56</v>
      </c>
      <c r="M121" s="5" t="s">
        <v>231</v>
      </c>
      <c r="N121" s="5" t="s">
        <v>56</v>
      </c>
      <c r="O121" s="5" t="s">
        <v>231</v>
      </c>
      <c r="P121" s="5" t="s">
        <v>56</v>
      </c>
      <c r="Q121" s="5" t="s">
        <v>231</v>
      </c>
      <c r="R121" s="5" t="s">
        <v>56</v>
      </c>
      <c r="S121" s="5" t="s">
        <v>56</v>
      </c>
      <c r="T121" s="5" t="s">
        <v>56</v>
      </c>
      <c r="U121" s="5" t="s">
        <v>56</v>
      </c>
      <c r="V121" s="5" t="s">
        <v>56</v>
      </c>
      <c r="W121" s="5" t="s">
        <v>56</v>
      </c>
      <c r="X121" s="5" t="s">
        <v>1</v>
      </c>
      <c r="AE121" s="5" t="s">
        <v>231</v>
      </c>
      <c r="AF121" s="5" t="s">
        <v>56</v>
      </c>
      <c r="AG121" s="5" t="s">
        <v>56</v>
      </c>
    </row>
    <row r="122" spans="2:33" ht="57" customHeight="1">
      <c r="B122" s="24" t="s">
        <v>232</v>
      </c>
      <c r="C122" s="6" t="s">
        <v>5</v>
      </c>
      <c r="D122" s="11" t="s">
        <v>57</v>
      </c>
      <c r="E122" s="11" t="s">
        <v>233</v>
      </c>
      <c r="F122" s="11" t="s">
        <v>58</v>
      </c>
      <c r="G122" s="11" t="s">
        <v>234</v>
      </c>
      <c r="H122" s="11" t="s">
        <v>59</v>
      </c>
      <c r="I122" s="11" t="s">
        <v>235</v>
      </c>
      <c r="J122" s="11" t="s">
        <v>236</v>
      </c>
      <c r="K122" s="11" t="s">
        <v>153</v>
      </c>
      <c r="L122" s="11" t="s">
        <v>841</v>
      </c>
      <c r="M122" s="11" t="s">
        <v>842</v>
      </c>
      <c r="N122" s="11" t="s">
        <v>843</v>
      </c>
      <c r="O122" s="11" t="s">
        <v>844</v>
      </c>
      <c r="P122" s="11" t="s">
        <v>845</v>
      </c>
      <c r="Q122" s="11" t="s">
        <v>846</v>
      </c>
      <c r="R122" s="11" t="s">
        <v>847</v>
      </c>
      <c r="S122" s="11" t="s">
        <v>848</v>
      </c>
      <c r="T122" s="11" t="s">
        <v>849</v>
      </c>
      <c r="U122" s="11" t="s">
        <v>850</v>
      </c>
      <c r="V122" s="11" t="s">
        <v>851</v>
      </c>
      <c r="W122" s="11" t="s">
        <v>852</v>
      </c>
      <c r="X122" s="11" t="s">
        <v>853</v>
      </c>
      <c r="Y122" s="11" t="s">
        <v>854</v>
      </c>
      <c r="Z122" s="11" t="s">
        <v>832</v>
      </c>
      <c r="AA122" s="11" t="s">
        <v>833</v>
      </c>
      <c r="AB122" s="11" t="s">
        <v>834</v>
      </c>
      <c r="AC122" s="11" t="s">
        <v>855</v>
      </c>
      <c r="AD122" s="11" t="s">
        <v>856</v>
      </c>
      <c r="AE122" s="11" t="s">
        <v>857</v>
      </c>
      <c r="AF122" s="11" t="s">
        <v>858</v>
      </c>
      <c r="AG122" s="11" t="s">
        <v>859</v>
      </c>
    </row>
    <row r="123" spans="2:33" ht="14.25" customHeight="1">
      <c r="B123" s="25" t="s">
        <v>237</v>
      </c>
      <c r="C123" s="26" t="s">
        <v>238</v>
      </c>
      <c r="D123" s="124">
        <v>111478.5</v>
      </c>
      <c r="E123" s="124">
        <v>0</v>
      </c>
      <c r="F123" s="124">
        <v>111195</v>
      </c>
      <c r="G123" s="124">
        <v>0</v>
      </c>
      <c r="H123" s="124">
        <v>107670</v>
      </c>
      <c r="I123" s="124">
        <v>0</v>
      </c>
      <c r="J123" s="124">
        <v>122953.7</v>
      </c>
      <c r="K123" s="124">
        <v>11475.2</v>
      </c>
      <c r="L123" s="124">
        <v>83372.67</v>
      </c>
      <c r="M123" s="124">
        <v>0</v>
      </c>
      <c r="N123" s="124">
        <v>119935.11</v>
      </c>
      <c r="O123" s="124">
        <v>0</v>
      </c>
      <c r="P123" s="124">
        <v>119961.58</v>
      </c>
      <c r="Q123" s="41">
        <f>IF($D$238=1,(AE123+0),(AD123+0))</f>
        <v>0</v>
      </c>
      <c r="R123" s="124">
        <v>81145.1</v>
      </c>
      <c r="S123" s="124">
        <v>116531.97</v>
      </c>
      <c r="T123" s="124">
        <v>116844.66</v>
      </c>
      <c r="U123" s="124">
        <v>2746.08</v>
      </c>
      <c r="V123" s="124">
        <v>4955.12</v>
      </c>
      <c r="W123" s="41">
        <f>IF($D$238=1,AF123,(AG123+0))</f>
        <v>8358.26</v>
      </c>
      <c r="X123" s="124">
        <v>120694.36</v>
      </c>
      <c r="Y123" s="41">
        <f>IF($D$238=1,P123,(X123-AD123))</f>
        <v>120694.36</v>
      </c>
      <c r="Z123" s="124">
        <v>93361.14</v>
      </c>
      <c r="AA123" s="124">
        <v>129940.21</v>
      </c>
      <c r="AB123" s="124">
        <v>129052.62</v>
      </c>
      <c r="AC123" s="41">
        <f>IF($D$238=1,T123,(AB123+0))</f>
        <v>129052.62</v>
      </c>
      <c r="AD123" s="124">
        <v>0</v>
      </c>
      <c r="AE123" s="124">
        <v>0</v>
      </c>
      <c r="AF123" s="124">
        <v>8358.26</v>
      </c>
      <c r="AG123" s="124">
        <v>8358.26</v>
      </c>
    </row>
    <row r="124" spans="2:33" ht="14.25" customHeight="1">
      <c r="B124" s="25" t="s">
        <v>239</v>
      </c>
      <c r="C124" s="26" t="s">
        <v>240</v>
      </c>
      <c r="D124" s="124">
        <v>415862.86</v>
      </c>
      <c r="E124" s="124">
        <v>0</v>
      </c>
      <c r="F124" s="124">
        <v>408326.16</v>
      </c>
      <c r="G124" s="124">
        <v>0</v>
      </c>
      <c r="H124" s="124">
        <v>408326.16</v>
      </c>
      <c r="I124" s="124">
        <v>0</v>
      </c>
      <c r="J124" s="124">
        <v>428805.74</v>
      </c>
      <c r="K124" s="124">
        <v>12942.88</v>
      </c>
      <c r="L124" s="124">
        <v>407193.74</v>
      </c>
      <c r="M124" s="124">
        <v>15419.63</v>
      </c>
      <c r="N124" s="124">
        <v>407223.14</v>
      </c>
      <c r="O124" s="124">
        <v>12991.11</v>
      </c>
      <c r="P124" s="124">
        <v>405973.96</v>
      </c>
      <c r="Q124" s="41">
        <f aca="true" t="shared" si="5" ref="Q124:Q187">IF($D$238=1,(AE124+0),(AD124+0))</f>
        <v>7656.87</v>
      </c>
      <c r="R124" s="124">
        <v>386095.2</v>
      </c>
      <c r="S124" s="124">
        <v>399889.6</v>
      </c>
      <c r="T124" s="124">
        <v>414781.12</v>
      </c>
      <c r="U124" s="124">
        <v>3596.94</v>
      </c>
      <c r="V124" s="124">
        <v>14340.48</v>
      </c>
      <c r="W124" s="41">
        <f aca="true" t="shared" si="6" ref="W124:W187">IF($D$238=1,AF124,(AG124+0))</f>
        <v>21674.02</v>
      </c>
      <c r="X124" s="124">
        <v>448073.92</v>
      </c>
      <c r="Y124" s="41">
        <f>IF($D$238=1,P124,(X124-AD124))</f>
        <v>440417.05</v>
      </c>
      <c r="Z124" s="124">
        <v>403872.41</v>
      </c>
      <c r="AA124" s="124">
        <v>446728.22</v>
      </c>
      <c r="AB124" s="124">
        <v>469747.94</v>
      </c>
      <c r="AC124" s="41">
        <f aca="true" t="shared" si="7" ref="AC124:AC187">IF($D$238=1,T124,(AB124+0))</f>
        <v>469747.94</v>
      </c>
      <c r="AD124" s="124">
        <v>7656.87</v>
      </c>
      <c r="AE124" s="124">
        <v>7656.87</v>
      </c>
      <c r="AF124" s="124">
        <v>21581</v>
      </c>
      <c r="AG124" s="124">
        <v>21674.02</v>
      </c>
    </row>
    <row r="125" spans="2:33" ht="14.25" customHeight="1">
      <c r="B125" s="25" t="s">
        <v>241</v>
      </c>
      <c r="C125" s="26" t="s">
        <v>242</v>
      </c>
      <c r="D125" s="124">
        <v>194374.11</v>
      </c>
      <c r="E125" s="124">
        <v>0</v>
      </c>
      <c r="F125" s="124">
        <v>202173.25</v>
      </c>
      <c r="G125" s="124">
        <v>0</v>
      </c>
      <c r="H125" s="124">
        <v>202432.85</v>
      </c>
      <c r="I125" s="124">
        <v>0</v>
      </c>
      <c r="J125" s="124">
        <v>217772.23</v>
      </c>
      <c r="K125" s="124">
        <v>23398.12</v>
      </c>
      <c r="L125" s="124">
        <v>120049.69</v>
      </c>
      <c r="M125" s="124">
        <v>231.06</v>
      </c>
      <c r="N125" s="124">
        <v>139402.43</v>
      </c>
      <c r="O125" s="124">
        <v>403.07</v>
      </c>
      <c r="P125" s="124">
        <v>161677.24</v>
      </c>
      <c r="Q125" s="41">
        <f t="shared" si="5"/>
        <v>994.51</v>
      </c>
      <c r="R125" s="124">
        <v>121753.33</v>
      </c>
      <c r="S125" s="124">
        <v>140513.08</v>
      </c>
      <c r="T125" s="124">
        <v>142815.91</v>
      </c>
      <c r="U125" s="124">
        <v>7302.09</v>
      </c>
      <c r="V125" s="124">
        <v>5647.44</v>
      </c>
      <c r="W125" s="41">
        <f t="shared" si="6"/>
        <v>4536.79</v>
      </c>
      <c r="X125" s="124">
        <v>163334.25</v>
      </c>
      <c r="Y125" s="41">
        <f aca="true" t="shared" si="8" ref="Y125:Y188">IF($D$238=1,P125,(X125-AD125))</f>
        <v>162339.74</v>
      </c>
      <c r="Z125" s="124">
        <v>130643.73</v>
      </c>
      <c r="AA125" s="124">
        <v>151097.89</v>
      </c>
      <c r="AB125" s="124">
        <v>167871.04</v>
      </c>
      <c r="AC125" s="41">
        <f t="shared" si="7"/>
        <v>167871.04</v>
      </c>
      <c r="AD125" s="124">
        <v>994.51</v>
      </c>
      <c r="AE125" s="124">
        <v>994.51</v>
      </c>
      <c r="AF125" s="124">
        <v>4536.79</v>
      </c>
      <c r="AG125" s="124">
        <v>4536.79</v>
      </c>
    </row>
    <row r="126" spans="2:33" ht="14.25" customHeight="1">
      <c r="B126" s="25" t="s">
        <v>243</v>
      </c>
      <c r="C126" s="26" t="s">
        <v>244</v>
      </c>
      <c r="D126" s="124">
        <v>121551.81</v>
      </c>
      <c r="E126" s="124">
        <v>0</v>
      </c>
      <c r="F126" s="124">
        <v>130677.35</v>
      </c>
      <c r="G126" s="124">
        <v>0</v>
      </c>
      <c r="H126" s="124">
        <v>130677.35</v>
      </c>
      <c r="I126" s="124">
        <v>0</v>
      </c>
      <c r="J126" s="124">
        <v>147037.2</v>
      </c>
      <c r="K126" s="124">
        <v>25485.39</v>
      </c>
      <c r="L126" s="124">
        <v>68760.56</v>
      </c>
      <c r="M126" s="124">
        <v>544.36</v>
      </c>
      <c r="N126" s="124">
        <v>106844.02</v>
      </c>
      <c r="O126" s="124">
        <v>976.5</v>
      </c>
      <c r="P126" s="124">
        <v>89322.93</v>
      </c>
      <c r="Q126" s="41">
        <f t="shared" si="5"/>
        <v>144.65</v>
      </c>
      <c r="R126" s="124">
        <v>85088.52</v>
      </c>
      <c r="S126" s="124">
        <v>101025.84</v>
      </c>
      <c r="T126" s="124">
        <v>79690.88</v>
      </c>
      <c r="U126" s="124">
        <v>26433.12</v>
      </c>
      <c r="V126" s="124">
        <v>10035.16</v>
      </c>
      <c r="W126" s="41">
        <f t="shared" si="6"/>
        <v>15853.34</v>
      </c>
      <c r="X126" s="124">
        <v>115682.82</v>
      </c>
      <c r="Y126" s="41">
        <f t="shared" si="8"/>
        <v>115538.17000000001</v>
      </c>
      <c r="Z126" s="124">
        <v>114569.02</v>
      </c>
      <c r="AA126" s="124">
        <v>123685.53</v>
      </c>
      <c r="AB126" s="124">
        <v>131536.16</v>
      </c>
      <c r="AC126" s="41">
        <f t="shared" si="7"/>
        <v>131536.16</v>
      </c>
      <c r="AD126" s="124">
        <v>144.65</v>
      </c>
      <c r="AE126" s="124">
        <v>144.65</v>
      </c>
      <c r="AF126" s="124">
        <v>15853.34</v>
      </c>
      <c r="AG126" s="124">
        <v>15853.34</v>
      </c>
    </row>
    <row r="127" spans="2:33" ht="14.25" customHeight="1">
      <c r="B127" s="25" t="s">
        <v>245</v>
      </c>
      <c r="C127" s="26" t="s">
        <v>246</v>
      </c>
      <c r="D127" s="124">
        <v>274668.32</v>
      </c>
      <c r="E127" s="124">
        <v>0</v>
      </c>
      <c r="F127" s="124">
        <v>199655.04</v>
      </c>
      <c r="G127" s="124">
        <v>0</v>
      </c>
      <c r="H127" s="124">
        <v>199125.62</v>
      </c>
      <c r="I127" s="124">
        <v>0</v>
      </c>
      <c r="J127" s="124">
        <v>288280.42</v>
      </c>
      <c r="K127" s="124">
        <v>13612.1</v>
      </c>
      <c r="L127" s="124">
        <v>195375.56</v>
      </c>
      <c r="M127" s="124">
        <v>8.33</v>
      </c>
      <c r="N127" s="124">
        <v>200992.17</v>
      </c>
      <c r="O127" s="124">
        <v>395.84</v>
      </c>
      <c r="P127" s="124">
        <v>200986.31</v>
      </c>
      <c r="Q127" s="41">
        <f t="shared" si="5"/>
        <v>1765.43</v>
      </c>
      <c r="R127" s="124">
        <v>193913.13</v>
      </c>
      <c r="S127" s="124">
        <v>191460.11</v>
      </c>
      <c r="T127" s="124">
        <v>205136.12</v>
      </c>
      <c r="U127" s="124">
        <v>6767.42</v>
      </c>
      <c r="V127" s="124">
        <v>8229.85</v>
      </c>
      <c r="W127" s="41">
        <f t="shared" si="6"/>
        <v>17761.91</v>
      </c>
      <c r="X127" s="124">
        <v>212842.78</v>
      </c>
      <c r="Y127" s="41">
        <f t="shared" si="8"/>
        <v>211077.35</v>
      </c>
      <c r="Z127" s="124">
        <v>210953.91</v>
      </c>
      <c r="AA127" s="124">
        <v>218991.48</v>
      </c>
      <c r="AB127" s="124">
        <v>230604.69</v>
      </c>
      <c r="AC127" s="41">
        <f t="shared" si="7"/>
        <v>230604.69</v>
      </c>
      <c r="AD127" s="124">
        <v>1765.43</v>
      </c>
      <c r="AE127" s="124">
        <v>1765.43</v>
      </c>
      <c r="AF127" s="124">
        <v>17761.91</v>
      </c>
      <c r="AG127" s="124">
        <v>17761.91</v>
      </c>
    </row>
    <row r="128" spans="2:33" ht="14.25" customHeight="1">
      <c r="B128" s="25" t="s">
        <v>247</v>
      </c>
      <c r="C128" s="26" t="s">
        <v>248</v>
      </c>
      <c r="D128" s="124">
        <v>39309.15</v>
      </c>
      <c r="E128" s="124">
        <v>0</v>
      </c>
      <c r="F128" s="124">
        <v>22602.4</v>
      </c>
      <c r="G128" s="124">
        <v>0</v>
      </c>
      <c r="H128" s="124">
        <v>22602.4</v>
      </c>
      <c r="I128" s="124">
        <v>0</v>
      </c>
      <c r="J128" s="124">
        <v>120017.14</v>
      </c>
      <c r="K128" s="124">
        <v>80707.99</v>
      </c>
      <c r="L128" s="124">
        <v>29368.62</v>
      </c>
      <c r="M128" s="124">
        <v>0</v>
      </c>
      <c r="N128" s="124">
        <v>15817.97</v>
      </c>
      <c r="O128" s="124">
        <v>0</v>
      </c>
      <c r="P128" s="124">
        <v>106500.7</v>
      </c>
      <c r="Q128" s="41">
        <f t="shared" si="5"/>
        <v>5856.75</v>
      </c>
      <c r="R128" s="124">
        <v>29568.98</v>
      </c>
      <c r="S128" s="124">
        <v>5846.21</v>
      </c>
      <c r="T128" s="124">
        <v>37795.4</v>
      </c>
      <c r="U128" s="124">
        <v>2175.1</v>
      </c>
      <c r="V128" s="124">
        <v>1974.74</v>
      </c>
      <c r="W128" s="41">
        <f t="shared" si="6"/>
        <v>11946.5</v>
      </c>
      <c r="X128" s="124">
        <v>118824.23</v>
      </c>
      <c r="Y128" s="41">
        <f t="shared" si="8"/>
        <v>112967.48</v>
      </c>
      <c r="Z128" s="124">
        <v>41240.21</v>
      </c>
      <c r="AA128" s="124">
        <v>31665.45</v>
      </c>
      <c r="AB128" s="124">
        <v>130770.73</v>
      </c>
      <c r="AC128" s="41">
        <f t="shared" si="7"/>
        <v>130770.73</v>
      </c>
      <c r="AD128" s="124">
        <v>5856.75</v>
      </c>
      <c r="AE128" s="124">
        <v>5856.75</v>
      </c>
      <c r="AF128" s="124">
        <v>11946.5</v>
      </c>
      <c r="AG128" s="124">
        <v>11946.5</v>
      </c>
    </row>
    <row r="129" spans="2:33" ht="14.25" customHeight="1">
      <c r="B129" s="25" t="s">
        <v>249</v>
      </c>
      <c r="C129" s="26" t="s">
        <v>250</v>
      </c>
      <c r="D129" s="124">
        <v>208039</v>
      </c>
      <c r="E129" s="124">
        <v>0</v>
      </c>
      <c r="F129" s="124">
        <v>141155.05</v>
      </c>
      <c r="G129" s="124">
        <v>0</v>
      </c>
      <c r="H129" s="124">
        <v>141155.05</v>
      </c>
      <c r="I129" s="124">
        <v>0</v>
      </c>
      <c r="J129" s="124">
        <v>229403.96</v>
      </c>
      <c r="K129" s="124">
        <v>21364.96</v>
      </c>
      <c r="L129" s="124">
        <v>185389.63</v>
      </c>
      <c r="M129" s="124">
        <v>7152.45</v>
      </c>
      <c r="N129" s="124">
        <v>155987.13</v>
      </c>
      <c r="O129" s="124">
        <v>942.92</v>
      </c>
      <c r="P129" s="124">
        <v>182468.35</v>
      </c>
      <c r="Q129" s="41">
        <f t="shared" si="5"/>
        <v>376.78</v>
      </c>
      <c r="R129" s="124">
        <v>191089.47</v>
      </c>
      <c r="S129" s="124">
        <v>157382.48</v>
      </c>
      <c r="T129" s="124">
        <v>162933.08</v>
      </c>
      <c r="U129" s="124">
        <v>9165.22</v>
      </c>
      <c r="V129" s="124">
        <v>3225.04</v>
      </c>
      <c r="W129" s="41">
        <f t="shared" si="6"/>
        <v>1829.69</v>
      </c>
      <c r="X129" s="124">
        <v>190774.34</v>
      </c>
      <c r="Y129" s="41">
        <f t="shared" si="8"/>
        <v>190397.56</v>
      </c>
      <c r="Z129" s="124">
        <v>287905</v>
      </c>
      <c r="AA129" s="124">
        <v>188467.11</v>
      </c>
      <c r="AB129" s="124">
        <v>192604.03</v>
      </c>
      <c r="AC129" s="41">
        <f t="shared" si="7"/>
        <v>192604.03</v>
      </c>
      <c r="AD129" s="124">
        <v>376.78</v>
      </c>
      <c r="AE129" s="124">
        <v>376.78</v>
      </c>
      <c r="AF129" s="124">
        <v>1829.69</v>
      </c>
      <c r="AG129" s="124">
        <v>1829.69</v>
      </c>
    </row>
    <row r="130" spans="2:33" ht="14.25" customHeight="1">
      <c r="B130" s="25" t="s">
        <v>251</v>
      </c>
      <c r="C130" s="26" t="s">
        <v>252</v>
      </c>
      <c r="D130" s="124">
        <v>115034</v>
      </c>
      <c r="E130" s="124">
        <v>0</v>
      </c>
      <c r="F130" s="124">
        <v>113570</v>
      </c>
      <c r="G130" s="124">
        <v>0</v>
      </c>
      <c r="H130" s="124">
        <v>106250</v>
      </c>
      <c r="I130" s="124">
        <v>0</v>
      </c>
      <c r="J130" s="124">
        <v>144409.49</v>
      </c>
      <c r="K130" s="124">
        <v>29375.49</v>
      </c>
      <c r="L130" s="124">
        <v>110240.22</v>
      </c>
      <c r="M130" s="124">
        <v>0</v>
      </c>
      <c r="N130" s="124">
        <v>105146.1</v>
      </c>
      <c r="O130" s="124">
        <v>0</v>
      </c>
      <c r="P130" s="124">
        <v>118076.57</v>
      </c>
      <c r="Q130" s="41">
        <f t="shared" si="5"/>
        <v>0</v>
      </c>
      <c r="R130" s="124">
        <v>107437.12</v>
      </c>
      <c r="S130" s="124">
        <v>122380.63</v>
      </c>
      <c r="T130" s="124">
        <v>102202.69</v>
      </c>
      <c r="U130" s="124">
        <v>26997.43</v>
      </c>
      <c r="V130" s="124">
        <v>29800.53</v>
      </c>
      <c r="W130" s="41">
        <f t="shared" si="6"/>
        <v>0</v>
      </c>
      <c r="X130" s="124">
        <v>125941.67</v>
      </c>
      <c r="Y130" s="41">
        <f t="shared" si="8"/>
        <v>125941.67</v>
      </c>
      <c r="Z130" s="124">
        <v>144756.54</v>
      </c>
      <c r="AA130" s="124">
        <v>153398.91</v>
      </c>
      <c r="AB130" s="124">
        <v>138507.67</v>
      </c>
      <c r="AC130" s="41">
        <f t="shared" si="7"/>
        <v>138507.67</v>
      </c>
      <c r="AD130" s="124">
        <v>0</v>
      </c>
      <c r="AE130" s="124">
        <v>0</v>
      </c>
      <c r="AF130" s="124">
        <v>12566</v>
      </c>
      <c r="AG130" s="124">
        <v>0</v>
      </c>
    </row>
    <row r="131" spans="2:33" ht="14.25" customHeight="1">
      <c r="B131" s="25" t="s">
        <v>253</v>
      </c>
      <c r="C131" s="26" t="s">
        <v>254</v>
      </c>
      <c r="D131" s="124">
        <v>0</v>
      </c>
      <c r="E131" s="124">
        <v>0</v>
      </c>
      <c r="F131" s="124">
        <v>0</v>
      </c>
      <c r="G131" s="124">
        <v>0</v>
      </c>
      <c r="H131" s="124">
        <v>0</v>
      </c>
      <c r="I131" s="124">
        <v>0</v>
      </c>
      <c r="J131" s="124">
        <v>0</v>
      </c>
      <c r="K131" s="124">
        <v>0</v>
      </c>
      <c r="L131" s="124">
        <v>0</v>
      </c>
      <c r="M131" s="124">
        <v>0</v>
      </c>
      <c r="N131" s="124">
        <v>0</v>
      </c>
      <c r="O131" s="124">
        <v>0</v>
      </c>
      <c r="P131" s="124">
        <v>0</v>
      </c>
      <c r="Q131" s="41">
        <f t="shared" si="5"/>
        <v>0</v>
      </c>
      <c r="R131" s="124">
        <v>0</v>
      </c>
      <c r="S131" s="124">
        <v>0</v>
      </c>
      <c r="T131" s="124">
        <v>0</v>
      </c>
      <c r="U131" s="124">
        <v>0</v>
      </c>
      <c r="V131" s="124">
        <v>0</v>
      </c>
      <c r="W131" s="41">
        <f t="shared" si="6"/>
        <v>0</v>
      </c>
      <c r="X131" s="124">
        <v>0</v>
      </c>
      <c r="Y131" s="41">
        <f t="shared" si="8"/>
        <v>0</v>
      </c>
      <c r="Z131" s="124">
        <v>0</v>
      </c>
      <c r="AA131" s="124">
        <v>0</v>
      </c>
      <c r="AB131" s="124">
        <v>0</v>
      </c>
      <c r="AC131" s="41">
        <f t="shared" si="7"/>
        <v>0</v>
      </c>
      <c r="AD131" s="124">
        <v>0</v>
      </c>
      <c r="AE131" s="124">
        <v>0</v>
      </c>
      <c r="AF131" s="124">
        <v>0</v>
      </c>
      <c r="AG131" s="124">
        <v>0</v>
      </c>
    </row>
    <row r="132" spans="2:33" ht="14.25" customHeight="1">
      <c r="B132" s="25" t="s">
        <v>255</v>
      </c>
      <c r="C132" s="26" t="s">
        <v>256</v>
      </c>
      <c r="D132" s="124">
        <v>408078.04</v>
      </c>
      <c r="E132" s="124">
        <v>0</v>
      </c>
      <c r="F132" s="124">
        <v>380653.5</v>
      </c>
      <c r="G132" s="124">
        <v>0</v>
      </c>
      <c r="H132" s="124">
        <v>380653.5</v>
      </c>
      <c r="I132" s="124">
        <v>0</v>
      </c>
      <c r="J132" s="124">
        <v>608025.49</v>
      </c>
      <c r="K132" s="124">
        <v>199947.45</v>
      </c>
      <c r="L132" s="124">
        <v>360401.19</v>
      </c>
      <c r="M132" s="124">
        <v>208963.91</v>
      </c>
      <c r="N132" s="124">
        <v>342981.3</v>
      </c>
      <c r="O132" s="124">
        <v>203445.42</v>
      </c>
      <c r="P132" s="124">
        <v>535586.09</v>
      </c>
      <c r="Q132" s="41">
        <f t="shared" si="5"/>
        <v>24374.54</v>
      </c>
      <c r="R132" s="124">
        <v>356719.32</v>
      </c>
      <c r="S132" s="124">
        <v>337855.7</v>
      </c>
      <c r="T132" s="124">
        <v>367849.3</v>
      </c>
      <c r="U132" s="124">
        <v>25632.78</v>
      </c>
      <c r="V132" s="124">
        <v>27085.05</v>
      </c>
      <c r="W132" s="41">
        <f t="shared" si="6"/>
        <v>32210.65</v>
      </c>
      <c r="X132" s="124">
        <v>590071.51</v>
      </c>
      <c r="Y132" s="41">
        <f t="shared" si="8"/>
        <v>565696.97</v>
      </c>
      <c r="Z132" s="124">
        <v>399363.15</v>
      </c>
      <c r="AA132" s="124">
        <v>462653.28</v>
      </c>
      <c r="AB132" s="124">
        <v>596041.71</v>
      </c>
      <c r="AC132" s="41">
        <f t="shared" si="7"/>
        <v>596041.71</v>
      </c>
      <c r="AD132" s="124">
        <v>24374.54</v>
      </c>
      <c r="AE132" s="124">
        <v>24374.54</v>
      </c>
      <c r="AF132" s="124">
        <v>32210.65</v>
      </c>
      <c r="AG132" s="124">
        <v>32210.65</v>
      </c>
    </row>
    <row r="133" spans="2:33" ht="14.25" customHeight="1">
      <c r="B133" s="25" t="s">
        <v>257</v>
      </c>
      <c r="C133" s="26" t="s">
        <v>258</v>
      </c>
      <c r="D133" s="124">
        <v>373993.48</v>
      </c>
      <c r="E133" s="124">
        <v>0</v>
      </c>
      <c r="F133" s="124">
        <v>371536.08</v>
      </c>
      <c r="G133" s="124">
        <v>0</v>
      </c>
      <c r="H133" s="124">
        <v>371165.37</v>
      </c>
      <c r="I133" s="124">
        <v>0</v>
      </c>
      <c r="J133" s="124">
        <v>443993.74</v>
      </c>
      <c r="K133" s="124">
        <v>70583.26</v>
      </c>
      <c r="L133" s="124">
        <v>356707.2</v>
      </c>
      <c r="M133" s="124">
        <v>45942.18</v>
      </c>
      <c r="N133" s="124">
        <v>385372.43</v>
      </c>
      <c r="O133" s="124">
        <v>44502.3</v>
      </c>
      <c r="P133" s="124">
        <v>408710.14</v>
      </c>
      <c r="Q133" s="41">
        <f t="shared" si="5"/>
        <v>3711.75</v>
      </c>
      <c r="R133" s="124">
        <v>370670.61</v>
      </c>
      <c r="S133" s="124">
        <v>379314.18</v>
      </c>
      <c r="T133" s="124">
        <v>362461.83</v>
      </c>
      <c r="U133" s="124">
        <v>32309.11</v>
      </c>
      <c r="V133" s="124">
        <v>18274.05</v>
      </c>
      <c r="W133" s="41">
        <f t="shared" si="6"/>
        <v>24332.3</v>
      </c>
      <c r="X133" s="124">
        <v>438870.17</v>
      </c>
      <c r="Y133" s="41">
        <f t="shared" si="8"/>
        <v>435158.42</v>
      </c>
      <c r="Z133" s="124">
        <v>428444.51</v>
      </c>
      <c r="AA133" s="124">
        <v>503650.59</v>
      </c>
      <c r="AB133" s="124">
        <v>463202.47</v>
      </c>
      <c r="AC133" s="41">
        <f t="shared" si="7"/>
        <v>463202.47</v>
      </c>
      <c r="AD133" s="124">
        <v>3711.75</v>
      </c>
      <c r="AE133" s="124">
        <v>3711.75</v>
      </c>
      <c r="AF133" s="124">
        <v>24331.63</v>
      </c>
      <c r="AG133" s="124">
        <v>24332.3</v>
      </c>
    </row>
    <row r="134" spans="2:33" ht="14.25" customHeight="1">
      <c r="B134" s="27" t="s">
        <v>259</v>
      </c>
      <c r="C134" s="28" t="s">
        <v>260</v>
      </c>
      <c r="D134" s="124">
        <v>2262389.27</v>
      </c>
      <c r="E134" s="124">
        <v>0</v>
      </c>
      <c r="F134" s="124">
        <v>2081543.83</v>
      </c>
      <c r="G134" s="124">
        <v>0</v>
      </c>
      <c r="H134" s="124">
        <v>2070058.3</v>
      </c>
      <c r="I134" s="124">
        <v>0</v>
      </c>
      <c r="J134" s="124">
        <v>2750699.11</v>
      </c>
      <c r="K134" s="124">
        <v>488892.84</v>
      </c>
      <c r="L134" s="124">
        <v>1916859.08</v>
      </c>
      <c r="M134" s="124">
        <v>278261.92</v>
      </c>
      <c r="N134" s="124">
        <v>1979701.8</v>
      </c>
      <c r="O134" s="124">
        <v>263657.16</v>
      </c>
      <c r="P134" s="124">
        <v>2329263.87</v>
      </c>
      <c r="Q134" s="41">
        <f t="shared" si="5"/>
        <v>44881.28</v>
      </c>
      <c r="R134" s="124">
        <v>1923480.78</v>
      </c>
      <c r="S134" s="124">
        <v>1952199.8</v>
      </c>
      <c r="T134" s="124">
        <v>1992510.99</v>
      </c>
      <c r="U134" s="124">
        <v>143125.29</v>
      </c>
      <c r="V134" s="124">
        <v>123567.46</v>
      </c>
      <c r="W134" s="41">
        <f t="shared" si="6"/>
        <v>151069.46</v>
      </c>
      <c r="X134" s="124">
        <v>2525110.05</v>
      </c>
      <c r="Y134" s="41">
        <f t="shared" si="8"/>
        <v>2480228.77</v>
      </c>
      <c r="Z134" s="124">
        <v>2255109.62</v>
      </c>
      <c r="AA134" s="124">
        <v>2410278.67</v>
      </c>
      <c r="AB134" s="124">
        <v>2649939.06</v>
      </c>
      <c r="AC134" s="41">
        <f t="shared" si="7"/>
        <v>2649939.06</v>
      </c>
      <c r="AD134" s="124">
        <v>44881.28</v>
      </c>
      <c r="AE134" s="124">
        <v>44881.28</v>
      </c>
      <c r="AF134" s="124">
        <v>150975.77</v>
      </c>
      <c r="AG134" s="124">
        <v>151069.46</v>
      </c>
    </row>
    <row r="135" spans="2:33" ht="14.25" customHeight="1">
      <c r="B135" s="25" t="s">
        <v>261</v>
      </c>
      <c r="C135" s="26" t="s">
        <v>262</v>
      </c>
      <c r="D135" s="124">
        <v>0</v>
      </c>
      <c r="E135" s="124">
        <v>0</v>
      </c>
      <c r="F135" s="124">
        <v>0</v>
      </c>
      <c r="G135" s="124">
        <v>0</v>
      </c>
      <c r="H135" s="124">
        <v>0</v>
      </c>
      <c r="I135" s="124">
        <v>0</v>
      </c>
      <c r="J135" s="124">
        <v>0</v>
      </c>
      <c r="K135" s="124">
        <v>0</v>
      </c>
      <c r="L135" s="124">
        <v>0</v>
      </c>
      <c r="M135" s="124">
        <v>0</v>
      </c>
      <c r="N135" s="124">
        <v>0</v>
      </c>
      <c r="O135" s="124">
        <v>0</v>
      </c>
      <c r="P135" s="124">
        <v>0</v>
      </c>
      <c r="Q135" s="41">
        <f t="shared" si="5"/>
        <v>0</v>
      </c>
      <c r="R135" s="124">
        <v>0</v>
      </c>
      <c r="S135" s="124">
        <v>0</v>
      </c>
      <c r="T135" s="124">
        <v>0</v>
      </c>
      <c r="U135" s="124">
        <v>0</v>
      </c>
      <c r="V135" s="124">
        <v>0</v>
      </c>
      <c r="W135" s="41">
        <f t="shared" si="6"/>
        <v>0</v>
      </c>
      <c r="X135" s="124">
        <v>0</v>
      </c>
      <c r="Y135" s="41">
        <f t="shared" si="8"/>
        <v>0</v>
      </c>
      <c r="Z135" s="124">
        <v>0</v>
      </c>
      <c r="AA135" s="124">
        <v>0</v>
      </c>
      <c r="AB135" s="124">
        <v>0</v>
      </c>
      <c r="AC135" s="41">
        <f t="shared" si="7"/>
        <v>0</v>
      </c>
      <c r="AD135" s="124">
        <v>0</v>
      </c>
      <c r="AE135" s="124">
        <v>0</v>
      </c>
      <c r="AF135" s="124">
        <v>0</v>
      </c>
      <c r="AG135" s="124">
        <v>0</v>
      </c>
    </row>
    <row r="136" spans="2:33" ht="14.25" customHeight="1">
      <c r="B136" s="25" t="s">
        <v>263</v>
      </c>
      <c r="C136" s="26" t="s">
        <v>264</v>
      </c>
      <c r="D136" s="124">
        <v>597.8</v>
      </c>
      <c r="E136" s="124">
        <v>0</v>
      </c>
      <c r="F136" s="124">
        <v>0</v>
      </c>
      <c r="G136" s="124">
        <v>0</v>
      </c>
      <c r="H136" s="124">
        <v>0</v>
      </c>
      <c r="I136" s="124">
        <v>0</v>
      </c>
      <c r="J136" s="124">
        <v>7429.6</v>
      </c>
      <c r="K136" s="124">
        <v>6831.8</v>
      </c>
      <c r="L136" s="124">
        <v>30485.45</v>
      </c>
      <c r="M136" s="124">
        <v>0</v>
      </c>
      <c r="N136" s="124">
        <v>35458.56</v>
      </c>
      <c r="O136" s="124">
        <v>0</v>
      </c>
      <c r="P136" s="124">
        <v>25497.45</v>
      </c>
      <c r="Q136" s="41">
        <f t="shared" si="5"/>
        <v>0</v>
      </c>
      <c r="R136" s="124">
        <v>29521.38</v>
      </c>
      <c r="S136" s="124">
        <v>38978.63</v>
      </c>
      <c r="T136" s="124">
        <v>19844.65</v>
      </c>
      <c r="U136" s="124">
        <v>3735</v>
      </c>
      <c r="V136" s="124">
        <v>4699.07</v>
      </c>
      <c r="W136" s="41">
        <f t="shared" si="6"/>
        <v>1179</v>
      </c>
      <c r="X136" s="124">
        <v>25497.45</v>
      </c>
      <c r="Y136" s="41">
        <f t="shared" si="8"/>
        <v>25497.45</v>
      </c>
      <c r="Z136" s="124">
        <v>34232.45</v>
      </c>
      <c r="AA136" s="124">
        <v>40196.52</v>
      </c>
      <c r="AB136" s="124">
        <v>26676.45</v>
      </c>
      <c r="AC136" s="41">
        <f t="shared" si="7"/>
        <v>26676.45</v>
      </c>
      <c r="AD136" s="124">
        <v>0</v>
      </c>
      <c r="AE136" s="124">
        <v>0</v>
      </c>
      <c r="AF136" s="124">
        <v>1179</v>
      </c>
      <c r="AG136" s="124">
        <v>1179</v>
      </c>
    </row>
    <row r="137" spans="2:33" ht="14.25" customHeight="1">
      <c r="B137" s="27" t="s">
        <v>265</v>
      </c>
      <c r="C137" s="28" t="s">
        <v>266</v>
      </c>
      <c r="D137" s="124">
        <v>597.8</v>
      </c>
      <c r="E137" s="124">
        <v>0</v>
      </c>
      <c r="F137" s="124">
        <v>0</v>
      </c>
      <c r="G137" s="124">
        <v>0</v>
      </c>
      <c r="H137" s="124">
        <v>0</v>
      </c>
      <c r="I137" s="124">
        <v>0</v>
      </c>
      <c r="J137" s="124">
        <v>7429.6</v>
      </c>
      <c r="K137" s="124">
        <v>6831.8</v>
      </c>
      <c r="L137" s="124">
        <v>30485.45</v>
      </c>
      <c r="M137" s="124">
        <v>0</v>
      </c>
      <c r="N137" s="124">
        <v>35458.56</v>
      </c>
      <c r="O137" s="124">
        <v>0</v>
      </c>
      <c r="P137" s="124">
        <v>25497.45</v>
      </c>
      <c r="Q137" s="41">
        <f t="shared" si="5"/>
        <v>0</v>
      </c>
      <c r="R137" s="124">
        <v>29521.38</v>
      </c>
      <c r="S137" s="124">
        <v>38978.63</v>
      </c>
      <c r="T137" s="124">
        <v>19844.65</v>
      </c>
      <c r="U137" s="124">
        <v>3735</v>
      </c>
      <c r="V137" s="124">
        <v>4699.07</v>
      </c>
      <c r="W137" s="41">
        <f t="shared" si="6"/>
        <v>1179</v>
      </c>
      <c r="X137" s="124">
        <v>25497.45</v>
      </c>
      <c r="Y137" s="41">
        <f t="shared" si="8"/>
        <v>25497.45</v>
      </c>
      <c r="Z137" s="124">
        <v>34232.45</v>
      </c>
      <c r="AA137" s="124">
        <v>40196.52</v>
      </c>
      <c r="AB137" s="124">
        <v>26676.45</v>
      </c>
      <c r="AC137" s="41">
        <f t="shared" si="7"/>
        <v>26676.45</v>
      </c>
      <c r="AD137" s="124">
        <v>0</v>
      </c>
      <c r="AE137" s="124">
        <v>0</v>
      </c>
      <c r="AF137" s="124">
        <v>1179</v>
      </c>
      <c r="AG137" s="124">
        <v>1179</v>
      </c>
    </row>
    <row r="138" spans="2:33" ht="14.25" customHeight="1">
      <c r="B138" s="25" t="s">
        <v>267</v>
      </c>
      <c r="C138" s="26" t="s">
        <v>268</v>
      </c>
      <c r="D138" s="124">
        <v>637051.98</v>
      </c>
      <c r="E138" s="124">
        <v>0</v>
      </c>
      <c r="F138" s="124">
        <v>528467.87</v>
      </c>
      <c r="G138" s="124">
        <v>0</v>
      </c>
      <c r="H138" s="124">
        <v>517967.87</v>
      </c>
      <c r="I138" s="124">
        <v>0</v>
      </c>
      <c r="J138" s="124">
        <v>740950.28</v>
      </c>
      <c r="K138" s="124">
        <v>103898.3</v>
      </c>
      <c r="L138" s="124">
        <v>464747.38</v>
      </c>
      <c r="M138" s="124">
        <v>461.86</v>
      </c>
      <c r="N138" s="124">
        <v>472497.2</v>
      </c>
      <c r="O138" s="124">
        <v>4689.62</v>
      </c>
      <c r="P138" s="124">
        <v>489390.3</v>
      </c>
      <c r="Q138" s="41">
        <f t="shared" si="5"/>
        <v>1481.81</v>
      </c>
      <c r="R138" s="124">
        <v>450023.39</v>
      </c>
      <c r="S138" s="124">
        <v>462569.07</v>
      </c>
      <c r="T138" s="124">
        <v>473609.33</v>
      </c>
      <c r="U138" s="124">
        <v>64194.9</v>
      </c>
      <c r="V138" s="124">
        <v>76719.29</v>
      </c>
      <c r="W138" s="41">
        <f t="shared" si="6"/>
        <v>86647.42</v>
      </c>
      <c r="X138" s="124">
        <v>547769.11</v>
      </c>
      <c r="Y138" s="41">
        <f t="shared" si="8"/>
        <v>546287.2999999999</v>
      </c>
      <c r="Z138" s="124">
        <v>567082.28</v>
      </c>
      <c r="AA138" s="124">
        <v>579651.91</v>
      </c>
      <c r="AB138" s="124">
        <v>615426.67</v>
      </c>
      <c r="AC138" s="41">
        <f t="shared" si="7"/>
        <v>615426.67</v>
      </c>
      <c r="AD138" s="124">
        <v>1481.81</v>
      </c>
      <c r="AE138" s="124">
        <v>1481.81</v>
      </c>
      <c r="AF138" s="124">
        <v>86647.42</v>
      </c>
      <c r="AG138" s="124">
        <v>86647.42</v>
      </c>
    </row>
    <row r="139" spans="2:33" ht="14.25" customHeight="1">
      <c r="B139" s="25" t="s">
        <v>269</v>
      </c>
      <c r="C139" s="26" t="s">
        <v>270</v>
      </c>
      <c r="D139" s="124">
        <v>31997.45</v>
      </c>
      <c r="E139" s="124">
        <v>0</v>
      </c>
      <c r="F139" s="124">
        <v>31997.45</v>
      </c>
      <c r="G139" s="124">
        <v>0</v>
      </c>
      <c r="H139" s="124">
        <v>31997.45</v>
      </c>
      <c r="I139" s="124">
        <v>0</v>
      </c>
      <c r="J139" s="124">
        <v>32930.84</v>
      </c>
      <c r="K139" s="124">
        <v>933.39</v>
      </c>
      <c r="L139" s="124">
        <v>6880.67</v>
      </c>
      <c r="M139" s="124">
        <v>0</v>
      </c>
      <c r="N139" s="124">
        <v>282.84</v>
      </c>
      <c r="O139" s="124">
        <v>0</v>
      </c>
      <c r="P139" s="124">
        <v>1000</v>
      </c>
      <c r="Q139" s="41">
        <f t="shared" si="5"/>
        <v>0</v>
      </c>
      <c r="R139" s="124">
        <v>7222.99</v>
      </c>
      <c r="S139" s="124">
        <v>3213.99</v>
      </c>
      <c r="T139" s="124">
        <v>96.91</v>
      </c>
      <c r="U139" s="124">
        <v>3402.98</v>
      </c>
      <c r="V139" s="124">
        <v>2961.45</v>
      </c>
      <c r="W139" s="41">
        <f t="shared" si="6"/>
        <v>30.3</v>
      </c>
      <c r="X139" s="124">
        <v>6500</v>
      </c>
      <c r="Y139" s="41">
        <f t="shared" si="8"/>
        <v>6500</v>
      </c>
      <c r="Z139" s="124">
        <v>15202.98</v>
      </c>
      <c r="AA139" s="124">
        <v>9961.45</v>
      </c>
      <c r="AB139" s="124">
        <v>6530.3</v>
      </c>
      <c r="AC139" s="41">
        <f t="shared" si="7"/>
        <v>6530.3</v>
      </c>
      <c r="AD139" s="124">
        <v>0</v>
      </c>
      <c r="AE139" s="124">
        <v>0</v>
      </c>
      <c r="AF139" s="124">
        <v>30.3</v>
      </c>
      <c r="AG139" s="124">
        <v>30.3</v>
      </c>
    </row>
    <row r="140" spans="2:33" ht="14.25" customHeight="1">
      <c r="B140" s="27" t="s">
        <v>271</v>
      </c>
      <c r="C140" s="28" t="s">
        <v>272</v>
      </c>
      <c r="D140" s="124">
        <v>669049.43</v>
      </c>
      <c r="E140" s="124">
        <v>0</v>
      </c>
      <c r="F140" s="124">
        <v>560465.32</v>
      </c>
      <c r="G140" s="124">
        <v>0</v>
      </c>
      <c r="H140" s="124">
        <v>549965.32</v>
      </c>
      <c r="I140" s="124">
        <v>0</v>
      </c>
      <c r="J140" s="124">
        <v>773881.12</v>
      </c>
      <c r="K140" s="124">
        <v>104831.69</v>
      </c>
      <c r="L140" s="124">
        <v>471628.05</v>
      </c>
      <c r="M140" s="124">
        <v>461.86</v>
      </c>
      <c r="N140" s="124">
        <v>472780.04</v>
      </c>
      <c r="O140" s="124">
        <v>4689.62</v>
      </c>
      <c r="P140" s="124">
        <v>490390.3</v>
      </c>
      <c r="Q140" s="41">
        <f t="shared" si="5"/>
        <v>1481.81</v>
      </c>
      <c r="R140" s="124">
        <v>457246.38</v>
      </c>
      <c r="S140" s="124">
        <v>465783.06</v>
      </c>
      <c r="T140" s="124">
        <v>473706.24</v>
      </c>
      <c r="U140" s="124">
        <v>67597.88</v>
      </c>
      <c r="V140" s="124">
        <v>79680.74</v>
      </c>
      <c r="W140" s="41">
        <f t="shared" si="6"/>
        <v>86677.72</v>
      </c>
      <c r="X140" s="124">
        <v>554269.11</v>
      </c>
      <c r="Y140" s="41">
        <f t="shared" si="8"/>
        <v>552787.2999999999</v>
      </c>
      <c r="Z140" s="124">
        <v>582285.26</v>
      </c>
      <c r="AA140" s="124">
        <v>589613.36</v>
      </c>
      <c r="AB140" s="124">
        <v>621956.97</v>
      </c>
      <c r="AC140" s="41">
        <f t="shared" si="7"/>
        <v>621956.97</v>
      </c>
      <c r="AD140" s="124">
        <v>1481.81</v>
      </c>
      <c r="AE140" s="124">
        <v>1481.81</v>
      </c>
      <c r="AF140" s="124">
        <v>86677.72</v>
      </c>
      <c r="AG140" s="124">
        <v>86677.72</v>
      </c>
    </row>
    <row r="141" spans="2:33" ht="14.25" customHeight="1">
      <c r="B141" s="25" t="s">
        <v>273</v>
      </c>
      <c r="C141" s="26" t="s">
        <v>274</v>
      </c>
      <c r="D141" s="124">
        <v>232351.38</v>
      </c>
      <c r="E141" s="124">
        <v>0</v>
      </c>
      <c r="F141" s="124">
        <v>156860</v>
      </c>
      <c r="G141" s="124">
        <v>0</v>
      </c>
      <c r="H141" s="124">
        <v>156860</v>
      </c>
      <c r="I141" s="124">
        <v>0</v>
      </c>
      <c r="J141" s="124">
        <v>2770992.84</v>
      </c>
      <c r="K141" s="124">
        <v>2538641.46</v>
      </c>
      <c r="L141" s="124">
        <v>178386.5</v>
      </c>
      <c r="M141" s="124">
        <v>0</v>
      </c>
      <c r="N141" s="124">
        <v>165502.94</v>
      </c>
      <c r="O141" s="124">
        <v>121072.35</v>
      </c>
      <c r="P141" s="124">
        <v>2681622.56</v>
      </c>
      <c r="Q141" s="41">
        <f t="shared" si="5"/>
        <v>0</v>
      </c>
      <c r="R141" s="124">
        <v>156240.24</v>
      </c>
      <c r="S141" s="124">
        <v>183266.85</v>
      </c>
      <c r="T141" s="124">
        <v>161269.22</v>
      </c>
      <c r="U141" s="124">
        <v>14615.46</v>
      </c>
      <c r="V141" s="124">
        <v>36046.63</v>
      </c>
      <c r="W141" s="41">
        <f t="shared" si="6"/>
        <v>18282.72</v>
      </c>
      <c r="X141" s="124">
        <v>2681660.55</v>
      </c>
      <c r="Y141" s="41">
        <f t="shared" si="8"/>
        <v>2681660.55</v>
      </c>
      <c r="Z141" s="124">
        <v>196597.29</v>
      </c>
      <c r="AA141" s="124">
        <v>408396.87</v>
      </c>
      <c r="AB141" s="124">
        <v>2079943.27</v>
      </c>
      <c r="AC141" s="41">
        <f t="shared" si="7"/>
        <v>2079943.27</v>
      </c>
      <c r="AD141" s="124">
        <v>0</v>
      </c>
      <c r="AE141" s="124">
        <v>0</v>
      </c>
      <c r="AF141" s="124">
        <v>18282.72</v>
      </c>
      <c r="AG141" s="124">
        <v>18282.72</v>
      </c>
    </row>
    <row r="142" spans="2:33" ht="14.25" customHeight="1">
      <c r="B142" s="25" t="s">
        <v>753</v>
      </c>
      <c r="C142" s="26" t="s">
        <v>275</v>
      </c>
      <c r="D142" s="124">
        <v>1340363.69</v>
      </c>
      <c r="E142" s="124">
        <v>0</v>
      </c>
      <c r="F142" s="124">
        <v>307388.27</v>
      </c>
      <c r="G142" s="124">
        <v>0</v>
      </c>
      <c r="H142" s="124">
        <v>284525.93</v>
      </c>
      <c r="I142" s="124">
        <v>0</v>
      </c>
      <c r="J142" s="124">
        <v>1446942.75</v>
      </c>
      <c r="K142" s="124">
        <v>106579.06</v>
      </c>
      <c r="L142" s="124">
        <v>540320.82</v>
      </c>
      <c r="M142" s="124">
        <v>16283.3</v>
      </c>
      <c r="N142" s="124">
        <v>412821.58</v>
      </c>
      <c r="O142" s="124">
        <v>9409.59</v>
      </c>
      <c r="P142" s="124">
        <v>344284.45</v>
      </c>
      <c r="Q142" s="41">
        <f t="shared" si="5"/>
        <v>30439</v>
      </c>
      <c r="R142" s="124">
        <v>532376.8</v>
      </c>
      <c r="S142" s="124">
        <v>454292.82</v>
      </c>
      <c r="T142" s="124">
        <v>312876.2</v>
      </c>
      <c r="U142" s="124">
        <v>112117.35</v>
      </c>
      <c r="V142" s="124">
        <v>116597.65</v>
      </c>
      <c r="W142" s="41">
        <f t="shared" si="6"/>
        <v>75126.41</v>
      </c>
      <c r="X142" s="124">
        <v>374948.38</v>
      </c>
      <c r="Y142" s="41">
        <f t="shared" si="8"/>
        <v>344509.38</v>
      </c>
      <c r="Z142" s="124">
        <v>673329.24</v>
      </c>
      <c r="AA142" s="124">
        <v>546818.28</v>
      </c>
      <c r="AB142" s="124">
        <v>450074.79</v>
      </c>
      <c r="AC142" s="41">
        <f t="shared" si="7"/>
        <v>450074.79</v>
      </c>
      <c r="AD142" s="124">
        <v>30439</v>
      </c>
      <c r="AE142" s="124">
        <v>30439</v>
      </c>
      <c r="AF142" s="124">
        <v>75126.41</v>
      </c>
      <c r="AG142" s="124">
        <v>75126.41</v>
      </c>
    </row>
    <row r="143" spans="2:33" ht="14.25" customHeight="1">
      <c r="B143" s="25" t="s">
        <v>276</v>
      </c>
      <c r="C143" s="26" t="s">
        <v>277</v>
      </c>
      <c r="D143" s="124">
        <v>0</v>
      </c>
      <c r="E143" s="124">
        <v>0</v>
      </c>
      <c r="F143" s="124">
        <v>0</v>
      </c>
      <c r="G143" s="124">
        <v>0</v>
      </c>
      <c r="H143" s="124">
        <v>0</v>
      </c>
      <c r="I143" s="124">
        <v>0</v>
      </c>
      <c r="J143" s="124">
        <v>0</v>
      </c>
      <c r="K143" s="124">
        <v>0</v>
      </c>
      <c r="L143" s="124">
        <v>0</v>
      </c>
      <c r="M143" s="124">
        <v>0</v>
      </c>
      <c r="N143" s="124">
        <v>0</v>
      </c>
      <c r="O143" s="124">
        <v>0</v>
      </c>
      <c r="P143" s="124">
        <v>0</v>
      </c>
      <c r="Q143" s="41">
        <f t="shared" si="5"/>
        <v>0</v>
      </c>
      <c r="R143" s="124">
        <v>0</v>
      </c>
      <c r="S143" s="124">
        <v>0</v>
      </c>
      <c r="T143" s="124">
        <v>0</v>
      </c>
      <c r="U143" s="124">
        <v>0</v>
      </c>
      <c r="V143" s="124">
        <v>0</v>
      </c>
      <c r="W143" s="41">
        <f t="shared" si="6"/>
        <v>0</v>
      </c>
      <c r="X143" s="124">
        <v>0</v>
      </c>
      <c r="Y143" s="41">
        <f t="shared" si="8"/>
        <v>0</v>
      </c>
      <c r="Z143" s="124">
        <v>0</v>
      </c>
      <c r="AA143" s="124">
        <v>0</v>
      </c>
      <c r="AB143" s="124">
        <v>0</v>
      </c>
      <c r="AC143" s="41">
        <f t="shared" si="7"/>
        <v>0</v>
      </c>
      <c r="AD143" s="124">
        <v>0</v>
      </c>
      <c r="AE143" s="124">
        <v>0</v>
      </c>
      <c r="AF143" s="124">
        <v>0</v>
      </c>
      <c r="AG143" s="124">
        <v>0</v>
      </c>
    </row>
    <row r="144" spans="2:33" ht="14.25" customHeight="1">
      <c r="B144" s="25" t="s">
        <v>278</v>
      </c>
      <c r="C144" s="26" t="s">
        <v>279</v>
      </c>
      <c r="D144" s="124">
        <v>26000</v>
      </c>
      <c r="E144" s="124">
        <v>0</v>
      </c>
      <c r="F144" s="124">
        <v>0</v>
      </c>
      <c r="G144" s="124">
        <v>0</v>
      </c>
      <c r="H144" s="124">
        <v>0</v>
      </c>
      <c r="I144" s="124">
        <v>0</v>
      </c>
      <c r="J144" s="124">
        <v>26000</v>
      </c>
      <c r="K144" s="124">
        <v>0</v>
      </c>
      <c r="L144" s="124">
        <v>0</v>
      </c>
      <c r="M144" s="124">
        <v>0</v>
      </c>
      <c r="N144" s="124">
        <v>0</v>
      </c>
      <c r="O144" s="124">
        <v>0</v>
      </c>
      <c r="P144" s="124">
        <v>0</v>
      </c>
      <c r="Q144" s="41">
        <f t="shared" si="5"/>
        <v>0</v>
      </c>
      <c r="R144" s="124">
        <v>0</v>
      </c>
      <c r="S144" s="124">
        <v>0</v>
      </c>
      <c r="T144" s="124">
        <v>0</v>
      </c>
      <c r="U144" s="124">
        <v>0</v>
      </c>
      <c r="V144" s="124">
        <v>0</v>
      </c>
      <c r="W144" s="41">
        <f t="shared" si="6"/>
        <v>0</v>
      </c>
      <c r="X144" s="124">
        <v>0</v>
      </c>
      <c r="Y144" s="41">
        <f t="shared" si="8"/>
        <v>0</v>
      </c>
      <c r="Z144" s="124">
        <v>0</v>
      </c>
      <c r="AA144" s="124">
        <v>0</v>
      </c>
      <c r="AB144" s="124">
        <v>0</v>
      </c>
      <c r="AC144" s="41">
        <f t="shared" si="7"/>
        <v>0</v>
      </c>
      <c r="AD144" s="124">
        <v>0</v>
      </c>
      <c r="AE144" s="124">
        <v>0</v>
      </c>
      <c r="AF144" s="124">
        <v>0</v>
      </c>
      <c r="AG144" s="124">
        <v>0</v>
      </c>
    </row>
    <row r="145" spans="2:33" ht="14.25" customHeight="1">
      <c r="B145" s="25" t="s">
        <v>280</v>
      </c>
      <c r="C145" s="26" t="s">
        <v>281</v>
      </c>
      <c r="D145" s="124">
        <v>662789.32</v>
      </c>
      <c r="E145" s="124">
        <v>0</v>
      </c>
      <c r="F145" s="124">
        <v>674112.75</v>
      </c>
      <c r="G145" s="124">
        <v>0</v>
      </c>
      <c r="H145" s="124">
        <v>674112.75</v>
      </c>
      <c r="I145" s="124">
        <v>0</v>
      </c>
      <c r="J145" s="124">
        <v>791004.15</v>
      </c>
      <c r="K145" s="124">
        <v>128214.83</v>
      </c>
      <c r="L145" s="124">
        <v>578399.29</v>
      </c>
      <c r="M145" s="124">
        <v>214.58</v>
      </c>
      <c r="N145" s="124">
        <v>618889.35</v>
      </c>
      <c r="O145" s="124">
        <v>0</v>
      </c>
      <c r="P145" s="124">
        <v>638224.89</v>
      </c>
      <c r="Q145" s="41">
        <f t="shared" si="5"/>
        <v>269.88</v>
      </c>
      <c r="R145" s="124">
        <v>571159.95</v>
      </c>
      <c r="S145" s="124">
        <v>614135.98</v>
      </c>
      <c r="T145" s="124">
        <v>620357.26</v>
      </c>
      <c r="U145" s="124">
        <v>98470.18</v>
      </c>
      <c r="V145" s="124">
        <v>105592.39</v>
      </c>
      <c r="W145" s="41">
        <f t="shared" si="6"/>
        <v>110345.76</v>
      </c>
      <c r="X145" s="124">
        <v>638496.96</v>
      </c>
      <c r="Y145" s="41">
        <f t="shared" si="8"/>
        <v>638227.08</v>
      </c>
      <c r="Z145" s="124">
        <v>601343.62</v>
      </c>
      <c r="AA145" s="124">
        <v>681515.62</v>
      </c>
      <c r="AB145" s="124">
        <v>748842.72</v>
      </c>
      <c r="AC145" s="41">
        <f t="shared" si="7"/>
        <v>748842.72</v>
      </c>
      <c r="AD145" s="124">
        <v>269.88</v>
      </c>
      <c r="AE145" s="124">
        <v>269.88</v>
      </c>
      <c r="AF145" s="124">
        <v>110345.76</v>
      </c>
      <c r="AG145" s="124">
        <v>110345.76</v>
      </c>
    </row>
    <row r="146" spans="2:33" ht="14.25" customHeight="1">
      <c r="B146" s="25" t="s">
        <v>282</v>
      </c>
      <c r="C146" s="26" t="s">
        <v>283</v>
      </c>
      <c r="D146" s="124">
        <v>28000</v>
      </c>
      <c r="E146" s="124">
        <v>0</v>
      </c>
      <c r="F146" s="124">
        <v>28000</v>
      </c>
      <c r="G146" s="124">
        <v>0</v>
      </c>
      <c r="H146" s="124">
        <v>28000</v>
      </c>
      <c r="I146" s="124">
        <v>0</v>
      </c>
      <c r="J146" s="124">
        <v>28557.55</v>
      </c>
      <c r="K146" s="124">
        <v>557.55</v>
      </c>
      <c r="L146" s="124">
        <v>0</v>
      </c>
      <c r="M146" s="124">
        <v>0</v>
      </c>
      <c r="N146" s="124">
        <v>28138.64</v>
      </c>
      <c r="O146" s="124">
        <v>0</v>
      </c>
      <c r="P146" s="124">
        <v>28000</v>
      </c>
      <c r="Q146" s="41">
        <f t="shared" si="5"/>
        <v>0</v>
      </c>
      <c r="R146" s="124">
        <v>0</v>
      </c>
      <c r="S146" s="124">
        <v>26599.08</v>
      </c>
      <c r="T146" s="124">
        <v>28982.01</v>
      </c>
      <c r="U146" s="124">
        <v>0</v>
      </c>
      <c r="V146" s="124">
        <v>0</v>
      </c>
      <c r="W146" s="41">
        <f t="shared" si="6"/>
        <v>1539.56</v>
      </c>
      <c r="X146" s="124">
        <v>28000</v>
      </c>
      <c r="Y146" s="41">
        <f t="shared" si="8"/>
        <v>28000</v>
      </c>
      <c r="Z146" s="124">
        <v>0</v>
      </c>
      <c r="AA146" s="124">
        <v>29000</v>
      </c>
      <c r="AB146" s="124">
        <v>29539.56</v>
      </c>
      <c r="AC146" s="41">
        <f t="shared" si="7"/>
        <v>29539.56</v>
      </c>
      <c r="AD146" s="124">
        <v>0</v>
      </c>
      <c r="AE146" s="124">
        <v>0</v>
      </c>
      <c r="AF146" s="124">
        <v>1539.56</v>
      </c>
      <c r="AG146" s="124">
        <v>1539.56</v>
      </c>
    </row>
    <row r="147" spans="2:33" ht="14.25" customHeight="1">
      <c r="B147" s="27" t="s">
        <v>284</v>
      </c>
      <c r="C147" s="28" t="s">
        <v>285</v>
      </c>
      <c r="D147" s="124">
        <v>2289504.39</v>
      </c>
      <c r="E147" s="124">
        <v>0</v>
      </c>
      <c r="F147" s="124">
        <v>1166361.02</v>
      </c>
      <c r="G147" s="124">
        <v>0</v>
      </c>
      <c r="H147" s="124">
        <v>1143498.68</v>
      </c>
      <c r="I147" s="124">
        <v>0</v>
      </c>
      <c r="J147" s="124">
        <v>5063497.29</v>
      </c>
      <c r="K147" s="124">
        <v>2773992.9</v>
      </c>
      <c r="L147" s="124">
        <v>1297106.61</v>
      </c>
      <c r="M147" s="124">
        <v>16497.88</v>
      </c>
      <c r="N147" s="124">
        <v>1225352.51</v>
      </c>
      <c r="O147" s="124">
        <v>130481.94</v>
      </c>
      <c r="P147" s="124">
        <v>3692131.9</v>
      </c>
      <c r="Q147" s="41">
        <f t="shared" si="5"/>
        <v>30708.88</v>
      </c>
      <c r="R147" s="124">
        <v>1259776.99</v>
      </c>
      <c r="S147" s="124">
        <v>1278294.73</v>
      </c>
      <c r="T147" s="124">
        <v>1123484.69</v>
      </c>
      <c r="U147" s="124">
        <v>225202.99</v>
      </c>
      <c r="V147" s="124">
        <v>258236.67</v>
      </c>
      <c r="W147" s="41">
        <f t="shared" si="6"/>
        <v>205294.45</v>
      </c>
      <c r="X147" s="124">
        <v>3723105.89</v>
      </c>
      <c r="Y147" s="41">
        <f t="shared" si="8"/>
        <v>3692397.0100000002</v>
      </c>
      <c r="Z147" s="124">
        <v>1471270.15</v>
      </c>
      <c r="AA147" s="124">
        <v>1665730.77</v>
      </c>
      <c r="AB147" s="124">
        <v>3308400.34</v>
      </c>
      <c r="AC147" s="41">
        <f t="shared" si="7"/>
        <v>3308400.34</v>
      </c>
      <c r="AD147" s="124">
        <v>30708.88</v>
      </c>
      <c r="AE147" s="124">
        <v>30708.88</v>
      </c>
      <c r="AF147" s="124">
        <v>205294.45</v>
      </c>
      <c r="AG147" s="124">
        <v>205294.45</v>
      </c>
    </row>
    <row r="148" spans="2:33" ht="14.25" customHeight="1">
      <c r="B148" s="25" t="s">
        <v>286</v>
      </c>
      <c r="C148" s="26" t="s">
        <v>287</v>
      </c>
      <c r="D148" s="124">
        <v>611400.12</v>
      </c>
      <c r="E148" s="124">
        <v>0</v>
      </c>
      <c r="F148" s="124">
        <v>7375</v>
      </c>
      <c r="G148" s="124">
        <v>0</v>
      </c>
      <c r="H148" s="124">
        <v>7350</v>
      </c>
      <c r="I148" s="124">
        <v>0</v>
      </c>
      <c r="J148" s="124">
        <v>689744.65</v>
      </c>
      <c r="K148" s="124">
        <v>78344.53</v>
      </c>
      <c r="L148" s="124">
        <v>72494.1</v>
      </c>
      <c r="M148" s="124">
        <v>0</v>
      </c>
      <c r="N148" s="124">
        <v>81746.01</v>
      </c>
      <c r="O148" s="124">
        <v>168</v>
      </c>
      <c r="P148" s="124">
        <v>97063.13</v>
      </c>
      <c r="Q148" s="41">
        <f t="shared" si="5"/>
        <v>0</v>
      </c>
      <c r="R148" s="124">
        <v>102386.1</v>
      </c>
      <c r="S148" s="124">
        <v>85318.72</v>
      </c>
      <c r="T148" s="124">
        <v>38289.09</v>
      </c>
      <c r="U148" s="124">
        <v>53035.2</v>
      </c>
      <c r="V148" s="124">
        <v>23143.2</v>
      </c>
      <c r="W148" s="41">
        <f t="shared" si="6"/>
        <v>19570.49</v>
      </c>
      <c r="X148" s="124">
        <v>132130.13</v>
      </c>
      <c r="Y148" s="41">
        <f t="shared" si="8"/>
        <v>132130.13</v>
      </c>
      <c r="Z148" s="124">
        <v>176047.16</v>
      </c>
      <c r="AA148" s="124">
        <v>103348.12</v>
      </c>
      <c r="AB148" s="124">
        <v>116700.62</v>
      </c>
      <c r="AC148" s="41">
        <f t="shared" si="7"/>
        <v>116700.62</v>
      </c>
      <c r="AD148" s="124">
        <v>0</v>
      </c>
      <c r="AE148" s="124">
        <v>0</v>
      </c>
      <c r="AF148" s="124">
        <v>19570.49</v>
      </c>
      <c r="AG148" s="124">
        <v>19570.49</v>
      </c>
    </row>
    <row r="149" spans="2:33" ht="14.25" customHeight="1">
      <c r="B149" s="25" t="s">
        <v>288</v>
      </c>
      <c r="C149" s="26" t="s">
        <v>289</v>
      </c>
      <c r="D149" s="124">
        <v>402409.24</v>
      </c>
      <c r="E149" s="124">
        <v>0</v>
      </c>
      <c r="F149" s="124">
        <v>346997.65</v>
      </c>
      <c r="G149" s="124">
        <v>0</v>
      </c>
      <c r="H149" s="124">
        <v>346997.65</v>
      </c>
      <c r="I149" s="124">
        <v>0</v>
      </c>
      <c r="J149" s="124">
        <v>513606.42</v>
      </c>
      <c r="K149" s="124">
        <v>111197.18</v>
      </c>
      <c r="L149" s="124">
        <v>328841.18</v>
      </c>
      <c r="M149" s="124">
        <v>3741.52</v>
      </c>
      <c r="N149" s="124">
        <v>357361.04</v>
      </c>
      <c r="O149" s="124">
        <v>233.48</v>
      </c>
      <c r="P149" s="124">
        <v>376071.43</v>
      </c>
      <c r="Q149" s="41">
        <f t="shared" si="5"/>
        <v>1.23</v>
      </c>
      <c r="R149" s="124">
        <v>328099.15</v>
      </c>
      <c r="S149" s="124">
        <v>354825.73</v>
      </c>
      <c r="T149" s="124">
        <v>337278.06</v>
      </c>
      <c r="U149" s="124">
        <v>70299.55</v>
      </c>
      <c r="V149" s="124">
        <v>69808.1</v>
      </c>
      <c r="W149" s="41">
        <f t="shared" si="6"/>
        <v>72343.41</v>
      </c>
      <c r="X149" s="124">
        <v>390531.02</v>
      </c>
      <c r="Y149" s="41">
        <f t="shared" si="8"/>
        <v>390529.79000000004</v>
      </c>
      <c r="Z149" s="124">
        <v>429953.35</v>
      </c>
      <c r="AA149" s="124">
        <v>452049.99</v>
      </c>
      <c r="AB149" s="124">
        <v>462874.43</v>
      </c>
      <c r="AC149" s="41">
        <f t="shared" si="7"/>
        <v>462874.43</v>
      </c>
      <c r="AD149" s="124">
        <v>1.23</v>
      </c>
      <c r="AE149" s="124">
        <v>1.23</v>
      </c>
      <c r="AF149" s="124">
        <v>72343.41</v>
      </c>
      <c r="AG149" s="124">
        <v>72343.41</v>
      </c>
    </row>
    <row r="150" spans="2:33" ht="14.25" customHeight="1">
      <c r="B150" s="27" t="s">
        <v>290</v>
      </c>
      <c r="C150" s="28" t="s">
        <v>291</v>
      </c>
      <c r="D150" s="124">
        <v>1013809.36</v>
      </c>
      <c r="E150" s="124">
        <v>0</v>
      </c>
      <c r="F150" s="124">
        <v>354372.65</v>
      </c>
      <c r="G150" s="124">
        <v>0</v>
      </c>
      <c r="H150" s="124">
        <v>354347.65</v>
      </c>
      <c r="I150" s="124">
        <v>0</v>
      </c>
      <c r="J150" s="124">
        <v>1203351.07</v>
      </c>
      <c r="K150" s="124">
        <v>189541.71</v>
      </c>
      <c r="L150" s="124">
        <v>401335.28</v>
      </c>
      <c r="M150" s="124">
        <v>3741.52</v>
      </c>
      <c r="N150" s="124">
        <v>439107.05</v>
      </c>
      <c r="O150" s="124">
        <v>401.48</v>
      </c>
      <c r="P150" s="124">
        <v>473134.56</v>
      </c>
      <c r="Q150" s="41">
        <f t="shared" si="5"/>
        <v>1.23</v>
      </c>
      <c r="R150" s="124">
        <v>430485.25</v>
      </c>
      <c r="S150" s="124">
        <v>440144.45</v>
      </c>
      <c r="T150" s="124">
        <v>375567.15</v>
      </c>
      <c r="U150" s="124">
        <v>123334.75</v>
      </c>
      <c r="V150" s="124">
        <v>92951.3</v>
      </c>
      <c r="W150" s="41">
        <f t="shared" si="6"/>
        <v>91913.9</v>
      </c>
      <c r="X150" s="124">
        <v>522661.15</v>
      </c>
      <c r="Y150" s="41">
        <f t="shared" si="8"/>
        <v>522659.92000000004</v>
      </c>
      <c r="Z150" s="124">
        <v>606000.51</v>
      </c>
      <c r="AA150" s="124">
        <v>555398.11</v>
      </c>
      <c r="AB150" s="124">
        <v>579575.05</v>
      </c>
      <c r="AC150" s="41">
        <f t="shared" si="7"/>
        <v>579575.05</v>
      </c>
      <c r="AD150" s="124">
        <v>1.23</v>
      </c>
      <c r="AE150" s="124">
        <v>1.23</v>
      </c>
      <c r="AF150" s="124">
        <v>91913.9</v>
      </c>
      <c r="AG150" s="124">
        <v>91913.9</v>
      </c>
    </row>
    <row r="151" spans="2:33" ht="14.25" customHeight="1">
      <c r="B151" s="25" t="s">
        <v>292</v>
      </c>
      <c r="C151" s="26" t="s">
        <v>293</v>
      </c>
      <c r="D151" s="124">
        <v>402904.42</v>
      </c>
      <c r="E151" s="124">
        <v>0</v>
      </c>
      <c r="F151" s="124">
        <v>222065.09</v>
      </c>
      <c r="G151" s="124">
        <v>0</v>
      </c>
      <c r="H151" s="124">
        <v>235267.14</v>
      </c>
      <c r="I151" s="124">
        <v>0</v>
      </c>
      <c r="J151" s="124">
        <v>531322.49</v>
      </c>
      <c r="K151" s="124">
        <v>128418.07</v>
      </c>
      <c r="L151" s="124">
        <v>321326.83</v>
      </c>
      <c r="M151" s="124">
        <v>90700.13</v>
      </c>
      <c r="N151" s="124">
        <v>478452.71</v>
      </c>
      <c r="O151" s="124">
        <v>8260.92</v>
      </c>
      <c r="P151" s="124">
        <v>323681.34</v>
      </c>
      <c r="Q151" s="41">
        <f t="shared" si="5"/>
        <v>23277.66</v>
      </c>
      <c r="R151" s="124">
        <v>330069.48</v>
      </c>
      <c r="S151" s="124">
        <v>438482.07</v>
      </c>
      <c r="T151" s="124">
        <v>332868.12</v>
      </c>
      <c r="U151" s="124">
        <v>111641.85</v>
      </c>
      <c r="V151" s="124">
        <v>101595.17</v>
      </c>
      <c r="W151" s="41">
        <f t="shared" si="6"/>
        <v>141565.81</v>
      </c>
      <c r="X151" s="124">
        <v>349900.43</v>
      </c>
      <c r="Y151" s="41">
        <f t="shared" si="8"/>
        <v>326622.77</v>
      </c>
      <c r="Z151" s="124">
        <v>442947.55</v>
      </c>
      <c r="AA151" s="124">
        <v>614971.37</v>
      </c>
      <c r="AB151" s="124">
        <v>491466.24</v>
      </c>
      <c r="AC151" s="41">
        <f t="shared" si="7"/>
        <v>491466.24</v>
      </c>
      <c r="AD151" s="124">
        <v>23277.66</v>
      </c>
      <c r="AE151" s="124">
        <v>23277.66</v>
      </c>
      <c r="AF151" s="124">
        <v>137541.39</v>
      </c>
      <c r="AG151" s="124">
        <v>141565.81</v>
      </c>
    </row>
    <row r="152" spans="2:33" ht="14.25" customHeight="1">
      <c r="B152" s="25" t="s">
        <v>294</v>
      </c>
      <c r="C152" s="26" t="s">
        <v>295</v>
      </c>
      <c r="D152" s="124">
        <v>47000</v>
      </c>
      <c r="E152" s="124">
        <v>0</v>
      </c>
      <c r="F152" s="124">
        <v>53000</v>
      </c>
      <c r="G152" s="124">
        <v>0</v>
      </c>
      <c r="H152" s="124">
        <v>53000</v>
      </c>
      <c r="I152" s="124">
        <v>0</v>
      </c>
      <c r="J152" s="124">
        <v>58518.29</v>
      </c>
      <c r="K152" s="124">
        <v>11518.29</v>
      </c>
      <c r="L152" s="124">
        <v>30054.77</v>
      </c>
      <c r="M152" s="124">
        <v>0</v>
      </c>
      <c r="N152" s="124">
        <v>27061.03</v>
      </c>
      <c r="O152" s="124">
        <v>0</v>
      </c>
      <c r="P152" s="124">
        <v>27927.5</v>
      </c>
      <c r="Q152" s="41">
        <f t="shared" si="5"/>
        <v>0</v>
      </c>
      <c r="R152" s="124">
        <v>32950.72</v>
      </c>
      <c r="S152" s="124">
        <v>28057.01</v>
      </c>
      <c r="T152" s="124">
        <v>26435.36</v>
      </c>
      <c r="U152" s="124">
        <v>13918.08</v>
      </c>
      <c r="V152" s="124">
        <v>11022.13</v>
      </c>
      <c r="W152" s="41">
        <f t="shared" si="6"/>
        <v>10026.15</v>
      </c>
      <c r="X152" s="124">
        <v>27927.5</v>
      </c>
      <c r="Y152" s="41">
        <f t="shared" si="8"/>
        <v>27927.5</v>
      </c>
      <c r="Z152" s="124">
        <v>44768.08</v>
      </c>
      <c r="AA152" s="124">
        <v>38222.13</v>
      </c>
      <c r="AB152" s="124">
        <v>37953.65</v>
      </c>
      <c r="AC152" s="41">
        <f t="shared" si="7"/>
        <v>37953.65</v>
      </c>
      <c r="AD152" s="124">
        <v>0</v>
      </c>
      <c r="AE152" s="124">
        <v>0</v>
      </c>
      <c r="AF152" s="124">
        <v>10026.15</v>
      </c>
      <c r="AG152" s="124">
        <v>10026.15</v>
      </c>
    </row>
    <row r="153" spans="2:33" ht="14.25" customHeight="1">
      <c r="B153" s="27" t="s">
        <v>296</v>
      </c>
      <c r="C153" s="28" t="s">
        <v>297</v>
      </c>
      <c r="D153" s="124">
        <v>449904.42</v>
      </c>
      <c r="E153" s="124">
        <v>0</v>
      </c>
      <c r="F153" s="124">
        <v>275065.09</v>
      </c>
      <c r="G153" s="124">
        <v>0</v>
      </c>
      <c r="H153" s="124">
        <v>288267.14</v>
      </c>
      <c r="I153" s="124">
        <v>0</v>
      </c>
      <c r="J153" s="124">
        <v>589840.78</v>
      </c>
      <c r="K153" s="124">
        <v>139936.36</v>
      </c>
      <c r="L153" s="124">
        <v>351381.6</v>
      </c>
      <c r="M153" s="124">
        <v>90700.13</v>
      </c>
      <c r="N153" s="124">
        <v>505513.74</v>
      </c>
      <c r="O153" s="124">
        <v>8260.92</v>
      </c>
      <c r="P153" s="124">
        <v>351608.84</v>
      </c>
      <c r="Q153" s="41">
        <f t="shared" si="5"/>
        <v>23277.66</v>
      </c>
      <c r="R153" s="124">
        <v>363020.2</v>
      </c>
      <c r="S153" s="124">
        <v>466539.08</v>
      </c>
      <c r="T153" s="124">
        <v>359303.48</v>
      </c>
      <c r="U153" s="124">
        <v>125559.93</v>
      </c>
      <c r="V153" s="124">
        <v>112617.3</v>
      </c>
      <c r="W153" s="41">
        <f t="shared" si="6"/>
        <v>151591.96</v>
      </c>
      <c r="X153" s="124">
        <v>377827.93</v>
      </c>
      <c r="Y153" s="41">
        <f t="shared" si="8"/>
        <v>354550.27</v>
      </c>
      <c r="Z153" s="124">
        <v>487715.63</v>
      </c>
      <c r="AA153" s="124">
        <v>653193.5</v>
      </c>
      <c r="AB153" s="124">
        <v>529419.89</v>
      </c>
      <c r="AC153" s="41">
        <f t="shared" si="7"/>
        <v>529419.89</v>
      </c>
      <c r="AD153" s="124">
        <v>23277.66</v>
      </c>
      <c r="AE153" s="124">
        <v>23277.66</v>
      </c>
      <c r="AF153" s="124">
        <v>147567.54</v>
      </c>
      <c r="AG153" s="124">
        <v>151591.96</v>
      </c>
    </row>
    <row r="154" spans="2:33" ht="14.25" customHeight="1">
      <c r="B154" s="25" t="s">
        <v>298</v>
      </c>
      <c r="C154" s="26" t="s">
        <v>299</v>
      </c>
      <c r="D154" s="124">
        <v>7350</v>
      </c>
      <c r="E154" s="124">
        <v>0</v>
      </c>
      <c r="F154" s="124">
        <v>27300</v>
      </c>
      <c r="G154" s="124">
        <v>0</v>
      </c>
      <c r="H154" s="124">
        <v>7250</v>
      </c>
      <c r="I154" s="124">
        <v>0</v>
      </c>
      <c r="J154" s="124">
        <v>13481.26</v>
      </c>
      <c r="K154" s="124">
        <v>6131.26</v>
      </c>
      <c r="L154" s="124">
        <v>5998.95</v>
      </c>
      <c r="M154" s="124">
        <v>0</v>
      </c>
      <c r="N154" s="124">
        <v>5810.2</v>
      </c>
      <c r="O154" s="124">
        <v>0</v>
      </c>
      <c r="P154" s="124">
        <v>9925.55</v>
      </c>
      <c r="Q154" s="41">
        <f t="shared" si="5"/>
        <v>0</v>
      </c>
      <c r="R154" s="124">
        <v>9464.09</v>
      </c>
      <c r="S154" s="124">
        <v>4543.73</v>
      </c>
      <c r="T154" s="124">
        <v>6534.04</v>
      </c>
      <c r="U154" s="124">
        <v>4938.42</v>
      </c>
      <c r="V154" s="124">
        <v>1473.28</v>
      </c>
      <c r="W154" s="41">
        <f t="shared" si="6"/>
        <v>2739.75</v>
      </c>
      <c r="X154" s="124">
        <v>10380</v>
      </c>
      <c r="Y154" s="41">
        <f t="shared" si="8"/>
        <v>10380</v>
      </c>
      <c r="Z154" s="124">
        <v>10938.25</v>
      </c>
      <c r="AA154" s="124">
        <v>10813.28</v>
      </c>
      <c r="AB154" s="124">
        <v>13119.75</v>
      </c>
      <c r="AC154" s="41">
        <f t="shared" si="7"/>
        <v>13119.75</v>
      </c>
      <c r="AD154" s="124">
        <v>0</v>
      </c>
      <c r="AE154" s="124">
        <v>0</v>
      </c>
      <c r="AF154" s="124">
        <v>2739.75</v>
      </c>
      <c r="AG154" s="124">
        <v>2739.75</v>
      </c>
    </row>
    <row r="155" spans="2:33" ht="14.25" customHeight="1">
      <c r="B155" s="27" t="s">
        <v>300</v>
      </c>
      <c r="C155" s="28" t="s">
        <v>301</v>
      </c>
      <c r="D155" s="124">
        <v>7350</v>
      </c>
      <c r="E155" s="124">
        <v>0</v>
      </c>
      <c r="F155" s="124">
        <v>27300</v>
      </c>
      <c r="G155" s="124">
        <v>0</v>
      </c>
      <c r="H155" s="124">
        <v>7250</v>
      </c>
      <c r="I155" s="124">
        <v>0</v>
      </c>
      <c r="J155" s="124">
        <v>13481.26</v>
      </c>
      <c r="K155" s="124">
        <v>6131.26</v>
      </c>
      <c r="L155" s="124">
        <v>5998.95</v>
      </c>
      <c r="M155" s="124">
        <v>0</v>
      </c>
      <c r="N155" s="124">
        <v>5810.2</v>
      </c>
      <c r="O155" s="124">
        <v>0</v>
      </c>
      <c r="P155" s="124">
        <v>9925.55</v>
      </c>
      <c r="Q155" s="41">
        <f t="shared" si="5"/>
        <v>0</v>
      </c>
      <c r="R155" s="124">
        <v>9464.09</v>
      </c>
      <c r="S155" s="124">
        <v>4543.73</v>
      </c>
      <c r="T155" s="124">
        <v>6534.04</v>
      </c>
      <c r="U155" s="124">
        <v>4938.42</v>
      </c>
      <c r="V155" s="124">
        <v>1473.28</v>
      </c>
      <c r="W155" s="41">
        <f t="shared" si="6"/>
        <v>2739.75</v>
      </c>
      <c r="X155" s="124">
        <v>10380</v>
      </c>
      <c r="Y155" s="41">
        <f t="shared" si="8"/>
        <v>10380</v>
      </c>
      <c r="Z155" s="124">
        <v>10938.25</v>
      </c>
      <c r="AA155" s="124">
        <v>10813.28</v>
      </c>
      <c r="AB155" s="124">
        <v>13119.75</v>
      </c>
      <c r="AC155" s="41">
        <f t="shared" si="7"/>
        <v>13119.75</v>
      </c>
      <c r="AD155" s="124">
        <v>0</v>
      </c>
      <c r="AE155" s="124">
        <v>0</v>
      </c>
      <c r="AF155" s="124">
        <v>2739.75</v>
      </c>
      <c r="AG155" s="124">
        <v>2739.75</v>
      </c>
    </row>
    <row r="156" spans="2:33" ht="14.25" customHeight="1">
      <c r="B156" s="25" t="s">
        <v>302</v>
      </c>
      <c r="C156" s="26" t="s">
        <v>303</v>
      </c>
      <c r="D156" s="124">
        <v>147403.49</v>
      </c>
      <c r="E156" s="124">
        <v>0</v>
      </c>
      <c r="F156" s="124">
        <v>197166.44</v>
      </c>
      <c r="G156" s="124">
        <v>0</v>
      </c>
      <c r="H156" s="124">
        <v>107166.44</v>
      </c>
      <c r="I156" s="124">
        <v>0</v>
      </c>
      <c r="J156" s="124">
        <v>150607.31</v>
      </c>
      <c r="K156" s="124">
        <v>3203.82</v>
      </c>
      <c r="L156" s="124">
        <v>123869.12</v>
      </c>
      <c r="M156" s="124">
        <v>285.93</v>
      </c>
      <c r="N156" s="124">
        <v>259353.97</v>
      </c>
      <c r="O156" s="124">
        <v>114.03</v>
      </c>
      <c r="P156" s="124">
        <v>105274.41</v>
      </c>
      <c r="Q156" s="41">
        <f t="shared" si="5"/>
        <v>201.1</v>
      </c>
      <c r="R156" s="124">
        <v>123770.06</v>
      </c>
      <c r="S156" s="124">
        <v>258199.55</v>
      </c>
      <c r="T156" s="124">
        <v>105513.18</v>
      </c>
      <c r="U156" s="124">
        <v>2189.1</v>
      </c>
      <c r="V156" s="124">
        <v>2288.16</v>
      </c>
      <c r="W156" s="41">
        <f t="shared" si="6"/>
        <v>3442.58</v>
      </c>
      <c r="X156" s="124">
        <v>112473.12</v>
      </c>
      <c r="Y156" s="41">
        <f t="shared" si="8"/>
        <v>112272.01999999999</v>
      </c>
      <c r="Z156" s="124">
        <v>321150.28</v>
      </c>
      <c r="AA156" s="124">
        <v>398469.02</v>
      </c>
      <c r="AB156" s="124">
        <v>115915.7</v>
      </c>
      <c r="AC156" s="41">
        <f t="shared" si="7"/>
        <v>115915.7</v>
      </c>
      <c r="AD156" s="124">
        <v>201.1</v>
      </c>
      <c r="AE156" s="124">
        <v>201.1</v>
      </c>
      <c r="AF156" s="124">
        <v>3442.58</v>
      </c>
      <c r="AG156" s="124">
        <v>3442.58</v>
      </c>
    </row>
    <row r="157" spans="2:33" ht="14.25" customHeight="1">
      <c r="B157" s="25" t="s">
        <v>304</v>
      </c>
      <c r="C157" s="26" t="s">
        <v>305</v>
      </c>
      <c r="D157" s="124">
        <v>59350</v>
      </c>
      <c r="E157" s="124">
        <v>0</v>
      </c>
      <c r="F157" s="124">
        <v>194350</v>
      </c>
      <c r="G157" s="124">
        <v>0</v>
      </c>
      <c r="H157" s="124">
        <v>44350</v>
      </c>
      <c r="I157" s="124">
        <v>0</v>
      </c>
      <c r="J157" s="124">
        <v>73097.11</v>
      </c>
      <c r="K157" s="124">
        <v>13747.11</v>
      </c>
      <c r="L157" s="124">
        <v>94602.13</v>
      </c>
      <c r="M157" s="124">
        <v>44672.86</v>
      </c>
      <c r="N157" s="124">
        <v>151486.65</v>
      </c>
      <c r="O157" s="124">
        <v>1416</v>
      </c>
      <c r="P157" s="124">
        <v>55316.52</v>
      </c>
      <c r="Q157" s="41">
        <f t="shared" si="5"/>
        <v>0</v>
      </c>
      <c r="R157" s="124">
        <v>71348.23</v>
      </c>
      <c r="S157" s="124">
        <v>174087.96</v>
      </c>
      <c r="T157" s="124">
        <v>55084.69</v>
      </c>
      <c r="U157" s="124">
        <v>13259.82</v>
      </c>
      <c r="V157" s="124">
        <v>36116.59</v>
      </c>
      <c r="W157" s="41">
        <f t="shared" si="6"/>
        <v>13515.28</v>
      </c>
      <c r="X157" s="124">
        <v>73164.4</v>
      </c>
      <c r="Y157" s="41">
        <f t="shared" si="8"/>
        <v>73164.4</v>
      </c>
      <c r="Z157" s="124">
        <v>111194.28</v>
      </c>
      <c r="AA157" s="124">
        <v>206442.84</v>
      </c>
      <c r="AB157" s="124">
        <v>86679.68</v>
      </c>
      <c r="AC157" s="41">
        <f t="shared" si="7"/>
        <v>86679.68</v>
      </c>
      <c r="AD157" s="124">
        <v>0</v>
      </c>
      <c r="AE157" s="124">
        <v>0</v>
      </c>
      <c r="AF157" s="124">
        <v>13515.28</v>
      </c>
      <c r="AG157" s="124">
        <v>13515.28</v>
      </c>
    </row>
    <row r="158" spans="2:33" ht="14.25" customHeight="1">
      <c r="B158" s="27" t="s">
        <v>306</v>
      </c>
      <c r="C158" s="28" t="s">
        <v>307</v>
      </c>
      <c r="D158" s="124">
        <v>206753.49</v>
      </c>
      <c r="E158" s="124">
        <v>0</v>
      </c>
      <c r="F158" s="124">
        <v>391516.44</v>
      </c>
      <c r="G158" s="124">
        <v>0</v>
      </c>
      <c r="H158" s="124">
        <v>151516.44</v>
      </c>
      <c r="I158" s="124">
        <v>0</v>
      </c>
      <c r="J158" s="124">
        <v>223704.42</v>
      </c>
      <c r="K158" s="124">
        <v>16950.93</v>
      </c>
      <c r="L158" s="124">
        <v>218471.25</v>
      </c>
      <c r="M158" s="124">
        <v>44958.79</v>
      </c>
      <c r="N158" s="124">
        <v>410840.62</v>
      </c>
      <c r="O158" s="124">
        <v>1530.03</v>
      </c>
      <c r="P158" s="124">
        <v>160590.93</v>
      </c>
      <c r="Q158" s="41">
        <f t="shared" si="5"/>
        <v>201.1</v>
      </c>
      <c r="R158" s="124">
        <v>195118.29</v>
      </c>
      <c r="S158" s="124">
        <v>432287.51</v>
      </c>
      <c r="T158" s="124">
        <v>160597.87</v>
      </c>
      <c r="U158" s="124">
        <v>15448.92</v>
      </c>
      <c r="V158" s="124">
        <v>38404.75</v>
      </c>
      <c r="W158" s="41">
        <f t="shared" si="6"/>
        <v>16957.86</v>
      </c>
      <c r="X158" s="124">
        <v>185637.52</v>
      </c>
      <c r="Y158" s="41">
        <f t="shared" si="8"/>
        <v>185436.41999999998</v>
      </c>
      <c r="Z158" s="124">
        <v>432344.56</v>
      </c>
      <c r="AA158" s="124">
        <v>604911.86</v>
      </c>
      <c r="AB158" s="124">
        <v>202595.38</v>
      </c>
      <c r="AC158" s="41">
        <f t="shared" si="7"/>
        <v>202595.38</v>
      </c>
      <c r="AD158" s="124">
        <v>201.1</v>
      </c>
      <c r="AE158" s="124">
        <v>201.1</v>
      </c>
      <c r="AF158" s="124">
        <v>16957.86</v>
      </c>
      <c r="AG158" s="124">
        <v>16957.86</v>
      </c>
    </row>
    <row r="159" spans="2:33" ht="14.25" customHeight="1">
      <c r="B159" s="25" t="s">
        <v>308</v>
      </c>
      <c r="C159" s="26" t="s">
        <v>309</v>
      </c>
      <c r="D159" s="124">
        <v>3996.32</v>
      </c>
      <c r="E159" s="124">
        <v>0</v>
      </c>
      <c r="F159" s="124">
        <v>0</v>
      </c>
      <c r="G159" s="124">
        <v>0</v>
      </c>
      <c r="H159" s="124">
        <v>0</v>
      </c>
      <c r="I159" s="124">
        <v>0</v>
      </c>
      <c r="J159" s="124">
        <v>55578.5</v>
      </c>
      <c r="K159" s="124">
        <v>51582.18</v>
      </c>
      <c r="L159" s="124">
        <v>0</v>
      </c>
      <c r="M159" s="124">
        <v>0</v>
      </c>
      <c r="N159" s="124">
        <v>0</v>
      </c>
      <c r="O159" s="124">
        <v>0</v>
      </c>
      <c r="P159" s="124">
        <v>51712.7</v>
      </c>
      <c r="Q159" s="41">
        <f t="shared" si="5"/>
        <v>0</v>
      </c>
      <c r="R159" s="124">
        <v>0</v>
      </c>
      <c r="S159" s="124">
        <v>0</v>
      </c>
      <c r="T159" s="124">
        <v>130.52</v>
      </c>
      <c r="U159" s="124">
        <v>0</v>
      </c>
      <c r="V159" s="124">
        <v>0</v>
      </c>
      <c r="W159" s="41">
        <f t="shared" si="6"/>
        <v>0</v>
      </c>
      <c r="X159" s="124">
        <v>51800</v>
      </c>
      <c r="Y159" s="41">
        <f t="shared" si="8"/>
        <v>51800</v>
      </c>
      <c r="Z159" s="124">
        <v>0</v>
      </c>
      <c r="AA159" s="124">
        <v>50000</v>
      </c>
      <c r="AB159" s="124">
        <v>51800</v>
      </c>
      <c r="AC159" s="41">
        <f t="shared" si="7"/>
        <v>51800</v>
      </c>
      <c r="AD159" s="124">
        <v>0</v>
      </c>
      <c r="AE159" s="124">
        <v>0</v>
      </c>
      <c r="AF159" s="124">
        <v>0</v>
      </c>
      <c r="AG159" s="124">
        <v>0</v>
      </c>
    </row>
    <row r="160" spans="2:33" ht="14.25" customHeight="1">
      <c r="B160" s="25" t="s">
        <v>310</v>
      </c>
      <c r="C160" s="26" t="s">
        <v>311</v>
      </c>
      <c r="D160" s="124">
        <v>117025</v>
      </c>
      <c r="E160" s="124">
        <v>0</v>
      </c>
      <c r="F160" s="124">
        <v>129525</v>
      </c>
      <c r="G160" s="124">
        <v>0</v>
      </c>
      <c r="H160" s="124">
        <v>129525</v>
      </c>
      <c r="I160" s="124">
        <v>0</v>
      </c>
      <c r="J160" s="124">
        <v>163868.67</v>
      </c>
      <c r="K160" s="124">
        <v>46843.67</v>
      </c>
      <c r="L160" s="124">
        <v>184828.76</v>
      </c>
      <c r="M160" s="124">
        <v>4611.6</v>
      </c>
      <c r="N160" s="124">
        <v>196079.08</v>
      </c>
      <c r="O160" s="124">
        <v>2483.13</v>
      </c>
      <c r="P160" s="124">
        <v>168864.73</v>
      </c>
      <c r="Q160" s="41">
        <f t="shared" si="5"/>
        <v>0</v>
      </c>
      <c r="R160" s="124">
        <v>229827.44</v>
      </c>
      <c r="S160" s="124">
        <v>151770.65</v>
      </c>
      <c r="T160" s="124">
        <v>191904.61</v>
      </c>
      <c r="U160" s="124">
        <v>71232.49</v>
      </c>
      <c r="V160" s="124">
        <v>25162.74</v>
      </c>
      <c r="W160" s="41">
        <f t="shared" si="6"/>
        <v>69471.17</v>
      </c>
      <c r="X160" s="124">
        <v>184270.13</v>
      </c>
      <c r="Y160" s="41">
        <f t="shared" si="8"/>
        <v>184270.13</v>
      </c>
      <c r="Z160" s="124">
        <v>258090.27</v>
      </c>
      <c r="AA160" s="124">
        <v>296961.06</v>
      </c>
      <c r="AB160" s="124">
        <v>253741.3</v>
      </c>
      <c r="AC160" s="41">
        <f t="shared" si="7"/>
        <v>253741.3</v>
      </c>
      <c r="AD160" s="124">
        <v>0</v>
      </c>
      <c r="AE160" s="124">
        <v>0</v>
      </c>
      <c r="AF160" s="124">
        <v>69471.17</v>
      </c>
      <c r="AG160" s="124">
        <v>69471.17</v>
      </c>
    </row>
    <row r="161" spans="2:33" ht="14.25" customHeight="1">
      <c r="B161" s="25" t="s">
        <v>312</v>
      </c>
      <c r="C161" s="26" t="s">
        <v>313</v>
      </c>
      <c r="D161" s="124">
        <v>1055834.74</v>
      </c>
      <c r="E161" s="124">
        <v>0</v>
      </c>
      <c r="F161" s="124">
        <v>990058.86</v>
      </c>
      <c r="G161" s="124">
        <v>0</v>
      </c>
      <c r="H161" s="124">
        <v>990058.86</v>
      </c>
      <c r="I161" s="124">
        <v>0</v>
      </c>
      <c r="J161" s="124">
        <v>1194138.37</v>
      </c>
      <c r="K161" s="124">
        <v>138303.63</v>
      </c>
      <c r="L161" s="124">
        <v>898202.29</v>
      </c>
      <c r="M161" s="124">
        <v>173.21</v>
      </c>
      <c r="N161" s="124">
        <v>856070.4</v>
      </c>
      <c r="O161" s="124">
        <v>49.9</v>
      </c>
      <c r="P161" s="124">
        <v>912509.7</v>
      </c>
      <c r="Q161" s="41">
        <f t="shared" si="5"/>
        <v>21847.94</v>
      </c>
      <c r="R161" s="124">
        <v>781208.71</v>
      </c>
      <c r="S161" s="124">
        <v>967249.4</v>
      </c>
      <c r="T161" s="124">
        <v>861871.93</v>
      </c>
      <c r="U161" s="124">
        <v>81850.06</v>
      </c>
      <c r="V161" s="124">
        <v>198843.64</v>
      </c>
      <c r="W161" s="41">
        <f t="shared" si="6"/>
        <v>87664.64</v>
      </c>
      <c r="X161" s="124">
        <v>941086.86</v>
      </c>
      <c r="Y161" s="41">
        <f t="shared" si="8"/>
        <v>919238.92</v>
      </c>
      <c r="Z161" s="124">
        <v>1005258.66</v>
      </c>
      <c r="AA161" s="124">
        <v>986566.95</v>
      </c>
      <c r="AB161" s="124">
        <v>1008751.5</v>
      </c>
      <c r="AC161" s="41">
        <f t="shared" si="7"/>
        <v>1008751.5</v>
      </c>
      <c r="AD161" s="124">
        <v>21847.94</v>
      </c>
      <c r="AE161" s="124">
        <v>21847.94</v>
      </c>
      <c r="AF161" s="124">
        <v>87664.64</v>
      </c>
      <c r="AG161" s="124">
        <v>87664.64</v>
      </c>
    </row>
    <row r="162" spans="2:33" ht="14.25" customHeight="1">
      <c r="B162" s="25" t="s">
        <v>314</v>
      </c>
      <c r="C162" s="26" t="s">
        <v>315</v>
      </c>
      <c r="D162" s="124">
        <v>32138.37</v>
      </c>
      <c r="E162" s="124">
        <v>0</v>
      </c>
      <c r="F162" s="124">
        <v>31310.92</v>
      </c>
      <c r="G162" s="124">
        <v>0</v>
      </c>
      <c r="H162" s="124">
        <v>30444.25</v>
      </c>
      <c r="I162" s="124">
        <v>0</v>
      </c>
      <c r="J162" s="124">
        <v>36530.37</v>
      </c>
      <c r="K162" s="124">
        <v>4392</v>
      </c>
      <c r="L162" s="124">
        <v>41403.09</v>
      </c>
      <c r="M162" s="124">
        <v>0</v>
      </c>
      <c r="N162" s="124">
        <v>62954.75</v>
      </c>
      <c r="O162" s="124">
        <v>0</v>
      </c>
      <c r="P162" s="124">
        <v>32927.35</v>
      </c>
      <c r="Q162" s="41">
        <f t="shared" si="5"/>
        <v>0</v>
      </c>
      <c r="R162" s="124">
        <v>55081.73</v>
      </c>
      <c r="S162" s="124">
        <v>52456.65</v>
      </c>
      <c r="T162" s="124">
        <v>43913.45</v>
      </c>
      <c r="U162" s="124">
        <v>18558.64</v>
      </c>
      <c r="V162" s="124">
        <v>4880</v>
      </c>
      <c r="W162" s="41">
        <f t="shared" si="6"/>
        <v>15378.1</v>
      </c>
      <c r="X162" s="124">
        <v>32928.33</v>
      </c>
      <c r="Y162" s="41">
        <f t="shared" si="8"/>
        <v>32928.33</v>
      </c>
      <c r="Z162" s="124">
        <v>59972.6</v>
      </c>
      <c r="AA162" s="124">
        <v>67834.95</v>
      </c>
      <c r="AB162" s="124">
        <v>48306.43</v>
      </c>
      <c r="AC162" s="41">
        <f t="shared" si="7"/>
        <v>48306.43</v>
      </c>
      <c r="AD162" s="124">
        <v>0</v>
      </c>
      <c r="AE162" s="124">
        <v>0</v>
      </c>
      <c r="AF162" s="124">
        <v>15378.1</v>
      </c>
      <c r="AG162" s="124">
        <v>15378.1</v>
      </c>
    </row>
    <row r="163" spans="2:33" ht="14.25" customHeight="1">
      <c r="B163" s="25" t="s">
        <v>316</v>
      </c>
      <c r="C163" s="26" t="s">
        <v>317</v>
      </c>
      <c r="D163" s="124">
        <v>3310</v>
      </c>
      <c r="E163" s="124">
        <v>0</v>
      </c>
      <c r="F163" s="124">
        <v>310</v>
      </c>
      <c r="G163" s="124">
        <v>0</v>
      </c>
      <c r="H163" s="124">
        <v>310</v>
      </c>
      <c r="I163" s="124">
        <v>0</v>
      </c>
      <c r="J163" s="124">
        <v>53310</v>
      </c>
      <c r="K163" s="124">
        <v>50000</v>
      </c>
      <c r="L163" s="124">
        <v>0</v>
      </c>
      <c r="M163" s="124">
        <v>0</v>
      </c>
      <c r="N163" s="124">
        <v>0</v>
      </c>
      <c r="O163" s="124">
        <v>0</v>
      </c>
      <c r="P163" s="124">
        <v>50000</v>
      </c>
      <c r="Q163" s="41">
        <f t="shared" si="5"/>
        <v>0</v>
      </c>
      <c r="R163" s="124">
        <v>0</v>
      </c>
      <c r="S163" s="124">
        <v>0</v>
      </c>
      <c r="T163" s="124">
        <v>0</v>
      </c>
      <c r="U163" s="124">
        <v>0</v>
      </c>
      <c r="V163" s="124">
        <v>0</v>
      </c>
      <c r="W163" s="41">
        <f t="shared" si="6"/>
        <v>0</v>
      </c>
      <c r="X163" s="124">
        <v>50310</v>
      </c>
      <c r="Y163" s="41">
        <f t="shared" si="8"/>
        <v>50310</v>
      </c>
      <c r="Z163" s="124">
        <v>0</v>
      </c>
      <c r="AA163" s="124">
        <v>0</v>
      </c>
      <c r="AB163" s="124">
        <v>50310</v>
      </c>
      <c r="AC163" s="41">
        <f t="shared" si="7"/>
        <v>50310</v>
      </c>
      <c r="AD163" s="124">
        <v>0</v>
      </c>
      <c r="AE163" s="124">
        <v>0</v>
      </c>
      <c r="AF163" s="124">
        <v>0</v>
      </c>
      <c r="AG163" s="124">
        <v>0</v>
      </c>
    </row>
    <row r="164" spans="2:33" ht="14.25" customHeight="1">
      <c r="B164" s="25" t="s">
        <v>318</v>
      </c>
      <c r="C164" s="26" t="s">
        <v>319</v>
      </c>
      <c r="D164" s="124">
        <v>0</v>
      </c>
      <c r="E164" s="124">
        <v>0</v>
      </c>
      <c r="F164" s="124">
        <v>0</v>
      </c>
      <c r="G164" s="124">
        <v>0</v>
      </c>
      <c r="H164" s="124">
        <v>0</v>
      </c>
      <c r="I164" s="124">
        <v>0</v>
      </c>
      <c r="J164" s="124">
        <v>0</v>
      </c>
      <c r="K164" s="124">
        <v>0</v>
      </c>
      <c r="L164" s="124">
        <v>0</v>
      </c>
      <c r="M164" s="124">
        <v>0</v>
      </c>
      <c r="N164" s="124">
        <v>0</v>
      </c>
      <c r="O164" s="124">
        <v>0</v>
      </c>
      <c r="P164" s="124">
        <v>0</v>
      </c>
      <c r="Q164" s="41">
        <f t="shared" si="5"/>
        <v>0</v>
      </c>
      <c r="R164" s="124">
        <v>0</v>
      </c>
      <c r="S164" s="124">
        <v>0</v>
      </c>
      <c r="T164" s="124">
        <v>0</v>
      </c>
      <c r="U164" s="124">
        <v>0</v>
      </c>
      <c r="V164" s="124">
        <v>0</v>
      </c>
      <c r="W164" s="41">
        <f t="shared" si="6"/>
        <v>0</v>
      </c>
      <c r="X164" s="124">
        <v>0</v>
      </c>
      <c r="Y164" s="41">
        <f t="shared" si="8"/>
        <v>0</v>
      </c>
      <c r="Z164" s="124">
        <v>0</v>
      </c>
      <c r="AA164" s="124">
        <v>0</v>
      </c>
      <c r="AB164" s="124">
        <v>0</v>
      </c>
      <c r="AC164" s="41">
        <f t="shared" si="7"/>
        <v>0</v>
      </c>
      <c r="AD164" s="124">
        <v>0</v>
      </c>
      <c r="AE164" s="124">
        <v>0</v>
      </c>
      <c r="AF164" s="124">
        <v>0</v>
      </c>
      <c r="AG164" s="124">
        <v>0</v>
      </c>
    </row>
    <row r="165" spans="2:33" ht="14.25" customHeight="1">
      <c r="B165" s="25" t="s">
        <v>320</v>
      </c>
      <c r="C165" s="26" t="s">
        <v>321</v>
      </c>
      <c r="D165" s="124">
        <v>0</v>
      </c>
      <c r="E165" s="124">
        <v>0</v>
      </c>
      <c r="F165" s="124">
        <v>0</v>
      </c>
      <c r="G165" s="124">
        <v>0</v>
      </c>
      <c r="H165" s="124">
        <v>0</v>
      </c>
      <c r="I165" s="124">
        <v>0</v>
      </c>
      <c r="J165" s="124">
        <v>0</v>
      </c>
      <c r="K165" s="124">
        <v>0</v>
      </c>
      <c r="L165" s="124">
        <v>0</v>
      </c>
      <c r="M165" s="124">
        <v>0</v>
      </c>
      <c r="N165" s="124">
        <v>0</v>
      </c>
      <c r="O165" s="124">
        <v>0</v>
      </c>
      <c r="P165" s="124">
        <v>0</v>
      </c>
      <c r="Q165" s="41">
        <f t="shared" si="5"/>
        <v>0</v>
      </c>
      <c r="R165" s="124">
        <v>0</v>
      </c>
      <c r="S165" s="124">
        <v>0</v>
      </c>
      <c r="T165" s="124">
        <v>0</v>
      </c>
      <c r="U165" s="124">
        <v>0</v>
      </c>
      <c r="V165" s="124">
        <v>0</v>
      </c>
      <c r="W165" s="41">
        <f t="shared" si="6"/>
        <v>0</v>
      </c>
      <c r="X165" s="124">
        <v>0</v>
      </c>
      <c r="Y165" s="41">
        <f t="shared" si="8"/>
        <v>0</v>
      </c>
      <c r="Z165" s="124">
        <v>0</v>
      </c>
      <c r="AA165" s="124">
        <v>0</v>
      </c>
      <c r="AB165" s="124">
        <v>0</v>
      </c>
      <c r="AC165" s="41">
        <f t="shared" si="7"/>
        <v>0</v>
      </c>
      <c r="AD165" s="124">
        <v>0</v>
      </c>
      <c r="AE165" s="124">
        <v>0</v>
      </c>
      <c r="AF165" s="124">
        <v>0</v>
      </c>
      <c r="AG165" s="124">
        <v>0</v>
      </c>
    </row>
    <row r="166" spans="2:33" ht="14.25" customHeight="1">
      <c r="B166" s="25" t="s">
        <v>322</v>
      </c>
      <c r="C166" s="26" t="s">
        <v>323</v>
      </c>
      <c r="D166" s="124">
        <v>0</v>
      </c>
      <c r="E166" s="124">
        <v>0</v>
      </c>
      <c r="F166" s="124">
        <v>0</v>
      </c>
      <c r="G166" s="124">
        <v>0</v>
      </c>
      <c r="H166" s="124">
        <v>0</v>
      </c>
      <c r="I166" s="124">
        <v>0</v>
      </c>
      <c r="J166" s="124">
        <v>4196.8</v>
      </c>
      <c r="K166" s="124">
        <v>4196.8</v>
      </c>
      <c r="L166" s="124">
        <v>0</v>
      </c>
      <c r="M166" s="124">
        <v>0</v>
      </c>
      <c r="N166" s="124">
        <v>0</v>
      </c>
      <c r="O166" s="124">
        <v>0</v>
      </c>
      <c r="P166" s="124">
        <v>4196.8</v>
      </c>
      <c r="Q166" s="41">
        <f t="shared" si="5"/>
        <v>0</v>
      </c>
      <c r="R166" s="124">
        <v>0</v>
      </c>
      <c r="S166" s="124">
        <v>0</v>
      </c>
      <c r="T166" s="124">
        <v>0</v>
      </c>
      <c r="U166" s="124">
        <v>0</v>
      </c>
      <c r="V166" s="124">
        <v>0</v>
      </c>
      <c r="W166" s="41">
        <f t="shared" si="6"/>
        <v>0</v>
      </c>
      <c r="X166" s="124">
        <v>4200</v>
      </c>
      <c r="Y166" s="41">
        <f t="shared" si="8"/>
        <v>4200</v>
      </c>
      <c r="Z166" s="124">
        <v>0</v>
      </c>
      <c r="AA166" s="124">
        <v>0</v>
      </c>
      <c r="AB166" s="124">
        <v>4200</v>
      </c>
      <c r="AC166" s="41">
        <f t="shared" si="7"/>
        <v>4200</v>
      </c>
      <c r="AD166" s="124">
        <v>0</v>
      </c>
      <c r="AE166" s="124">
        <v>0</v>
      </c>
      <c r="AF166" s="124">
        <v>0</v>
      </c>
      <c r="AG166" s="124">
        <v>0</v>
      </c>
    </row>
    <row r="167" spans="2:33" ht="14.25" customHeight="1">
      <c r="B167" s="27" t="s">
        <v>324</v>
      </c>
      <c r="C167" s="28" t="s">
        <v>325</v>
      </c>
      <c r="D167" s="124">
        <v>1212304.43</v>
      </c>
      <c r="E167" s="124">
        <v>0</v>
      </c>
      <c r="F167" s="124">
        <v>1151204.78</v>
      </c>
      <c r="G167" s="124">
        <v>0</v>
      </c>
      <c r="H167" s="124">
        <v>1150338.11</v>
      </c>
      <c r="I167" s="124">
        <v>0</v>
      </c>
      <c r="J167" s="124">
        <v>1507622.71</v>
      </c>
      <c r="K167" s="124">
        <v>295318.28</v>
      </c>
      <c r="L167" s="124">
        <v>1124434.14</v>
      </c>
      <c r="M167" s="124">
        <v>4784.81</v>
      </c>
      <c r="N167" s="124">
        <v>1115104.23</v>
      </c>
      <c r="O167" s="124">
        <v>2533.03</v>
      </c>
      <c r="P167" s="124">
        <v>1220211.28</v>
      </c>
      <c r="Q167" s="41">
        <f t="shared" si="5"/>
        <v>21847.94</v>
      </c>
      <c r="R167" s="124">
        <v>1066117.88</v>
      </c>
      <c r="S167" s="124">
        <v>1171476.7</v>
      </c>
      <c r="T167" s="124">
        <v>1097820.51</v>
      </c>
      <c r="U167" s="124">
        <v>171641.19</v>
      </c>
      <c r="V167" s="124">
        <v>228886.38</v>
      </c>
      <c r="W167" s="41">
        <f t="shared" si="6"/>
        <v>172513.91</v>
      </c>
      <c r="X167" s="124">
        <v>1264595.32</v>
      </c>
      <c r="Y167" s="41">
        <f t="shared" si="8"/>
        <v>1242747.3800000001</v>
      </c>
      <c r="Z167" s="124">
        <v>1323321.53</v>
      </c>
      <c r="AA167" s="124">
        <v>1401362.96</v>
      </c>
      <c r="AB167" s="124">
        <v>1417109.23</v>
      </c>
      <c r="AC167" s="41">
        <f t="shared" si="7"/>
        <v>1417109.23</v>
      </c>
      <c r="AD167" s="124">
        <v>21847.94</v>
      </c>
      <c r="AE167" s="124">
        <v>21847.94</v>
      </c>
      <c r="AF167" s="124">
        <v>172513.91</v>
      </c>
      <c r="AG167" s="124">
        <v>172513.91</v>
      </c>
    </row>
    <row r="168" spans="2:33" ht="14.25" customHeight="1">
      <c r="B168" s="25" t="s">
        <v>326</v>
      </c>
      <c r="C168" s="26" t="s">
        <v>327</v>
      </c>
      <c r="D168" s="124">
        <v>0</v>
      </c>
      <c r="E168" s="124">
        <v>0</v>
      </c>
      <c r="F168" s="124">
        <v>0</v>
      </c>
      <c r="G168" s="124">
        <v>0</v>
      </c>
      <c r="H168" s="124">
        <v>0</v>
      </c>
      <c r="I168" s="124">
        <v>0</v>
      </c>
      <c r="J168" s="124">
        <v>0</v>
      </c>
      <c r="K168" s="124">
        <v>0</v>
      </c>
      <c r="L168" s="124">
        <v>0</v>
      </c>
      <c r="M168" s="124">
        <v>0</v>
      </c>
      <c r="N168" s="124">
        <v>0</v>
      </c>
      <c r="O168" s="124">
        <v>0</v>
      </c>
      <c r="P168" s="124">
        <v>0</v>
      </c>
      <c r="Q168" s="41">
        <f t="shared" si="5"/>
        <v>0</v>
      </c>
      <c r="R168" s="124">
        <v>0</v>
      </c>
      <c r="S168" s="124">
        <v>0</v>
      </c>
      <c r="T168" s="124">
        <v>0</v>
      </c>
      <c r="U168" s="124">
        <v>0</v>
      </c>
      <c r="V168" s="124">
        <v>0</v>
      </c>
      <c r="W168" s="41">
        <f t="shared" si="6"/>
        <v>0</v>
      </c>
      <c r="X168" s="124">
        <v>0</v>
      </c>
      <c r="Y168" s="41">
        <f t="shared" si="8"/>
        <v>0</v>
      </c>
      <c r="Z168" s="124">
        <v>0</v>
      </c>
      <c r="AA168" s="124">
        <v>0</v>
      </c>
      <c r="AB168" s="124">
        <v>0</v>
      </c>
      <c r="AC168" s="41">
        <f t="shared" si="7"/>
        <v>0</v>
      </c>
      <c r="AD168" s="124">
        <v>0</v>
      </c>
      <c r="AE168" s="124">
        <v>0</v>
      </c>
      <c r="AF168" s="124">
        <v>0</v>
      </c>
      <c r="AG168" s="124">
        <v>0</v>
      </c>
    </row>
    <row r="169" spans="2:33" ht="14.25" customHeight="1">
      <c r="B169" s="25" t="s">
        <v>328</v>
      </c>
      <c r="C169" s="26" t="s">
        <v>329</v>
      </c>
      <c r="D169" s="124">
        <v>51320</v>
      </c>
      <c r="E169" s="124">
        <v>0</v>
      </c>
      <c r="F169" s="124">
        <v>51320</v>
      </c>
      <c r="G169" s="124">
        <v>0</v>
      </c>
      <c r="H169" s="124">
        <v>51320</v>
      </c>
      <c r="I169" s="124">
        <v>0</v>
      </c>
      <c r="J169" s="124">
        <v>55596.65</v>
      </c>
      <c r="K169" s="124">
        <v>4276.65</v>
      </c>
      <c r="L169" s="124">
        <v>61084.18</v>
      </c>
      <c r="M169" s="124">
        <v>0</v>
      </c>
      <c r="N169" s="124">
        <v>58137.46</v>
      </c>
      <c r="O169" s="124">
        <v>0</v>
      </c>
      <c r="P169" s="124">
        <v>51319.9</v>
      </c>
      <c r="Q169" s="41">
        <f t="shared" si="5"/>
        <v>0</v>
      </c>
      <c r="R169" s="124">
        <v>61075.02</v>
      </c>
      <c r="S169" s="124">
        <v>66174.53</v>
      </c>
      <c r="T169" s="124">
        <v>49186.86</v>
      </c>
      <c r="U169" s="124">
        <v>10171.52</v>
      </c>
      <c r="V169" s="124">
        <v>10180.68</v>
      </c>
      <c r="W169" s="41">
        <f t="shared" si="6"/>
        <v>2143.61</v>
      </c>
      <c r="X169" s="124">
        <v>51320</v>
      </c>
      <c r="Y169" s="41">
        <f t="shared" si="8"/>
        <v>51320</v>
      </c>
      <c r="Z169" s="124">
        <v>71271.52</v>
      </c>
      <c r="AA169" s="124">
        <v>67324.88</v>
      </c>
      <c r="AB169" s="124">
        <v>53463.61</v>
      </c>
      <c r="AC169" s="41">
        <f t="shared" si="7"/>
        <v>53463.61</v>
      </c>
      <c r="AD169" s="124">
        <v>0</v>
      </c>
      <c r="AE169" s="124">
        <v>0</v>
      </c>
      <c r="AF169" s="124">
        <v>2143.61</v>
      </c>
      <c r="AG169" s="124">
        <v>2143.61</v>
      </c>
    </row>
    <row r="170" spans="2:33" ht="14.25" customHeight="1">
      <c r="B170" s="25" t="s">
        <v>330</v>
      </c>
      <c r="C170" s="26" t="s">
        <v>331</v>
      </c>
      <c r="D170" s="124">
        <v>0</v>
      </c>
      <c r="E170" s="124">
        <v>0</v>
      </c>
      <c r="F170" s="124">
        <v>0</v>
      </c>
      <c r="G170" s="124">
        <v>0</v>
      </c>
      <c r="H170" s="124">
        <v>0</v>
      </c>
      <c r="I170" s="124">
        <v>0</v>
      </c>
      <c r="J170" s="124">
        <v>0</v>
      </c>
      <c r="K170" s="124">
        <v>0</v>
      </c>
      <c r="L170" s="124">
        <v>0</v>
      </c>
      <c r="M170" s="124">
        <v>0</v>
      </c>
      <c r="N170" s="124">
        <v>0</v>
      </c>
      <c r="O170" s="124">
        <v>0</v>
      </c>
      <c r="P170" s="124">
        <v>0</v>
      </c>
      <c r="Q170" s="41">
        <f t="shared" si="5"/>
        <v>0</v>
      </c>
      <c r="R170" s="124">
        <v>0</v>
      </c>
      <c r="S170" s="124">
        <v>0</v>
      </c>
      <c r="T170" s="124">
        <v>0</v>
      </c>
      <c r="U170" s="124">
        <v>0</v>
      </c>
      <c r="V170" s="124">
        <v>0</v>
      </c>
      <c r="W170" s="41">
        <f t="shared" si="6"/>
        <v>0</v>
      </c>
      <c r="X170" s="124">
        <v>0</v>
      </c>
      <c r="Y170" s="41">
        <f t="shared" si="8"/>
        <v>0</v>
      </c>
      <c r="Z170" s="124">
        <v>0</v>
      </c>
      <c r="AA170" s="124">
        <v>0</v>
      </c>
      <c r="AB170" s="124">
        <v>0</v>
      </c>
      <c r="AC170" s="41">
        <f t="shared" si="7"/>
        <v>0</v>
      </c>
      <c r="AD170" s="124">
        <v>0</v>
      </c>
      <c r="AE170" s="124">
        <v>0</v>
      </c>
      <c r="AF170" s="124">
        <v>0</v>
      </c>
      <c r="AG170" s="124">
        <v>0</v>
      </c>
    </row>
    <row r="171" spans="2:33" ht="14.25" customHeight="1">
      <c r="B171" s="25" t="s">
        <v>332</v>
      </c>
      <c r="C171" s="26" t="s">
        <v>333</v>
      </c>
      <c r="D171" s="124">
        <v>0</v>
      </c>
      <c r="E171" s="124">
        <v>0</v>
      </c>
      <c r="F171" s="124">
        <v>0</v>
      </c>
      <c r="G171" s="124">
        <v>0</v>
      </c>
      <c r="H171" s="124">
        <v>0</v>
      </c>
      <c r="I171" s="124">
        <v>0</v>
      </c>
      <c r="J171" s="124">
        <v>0</v>
      </c>
      <c r="K171" s="124">
        <v>0</v>
      </c>
      <c r="L171" s="124">
        <v>0</v>
      </c>
      <c r="M171" s="124">
        <v>0</v>
      </c>
      <c r="N171" s="124">
        <v>0</v>
      </c>
      <c r="O171" s="124">
        <v>0</v>
      </c>
      <c r="P171" s="124">
        <v>0</v>
      </c>
      <c r="Q171" s="41">
        <f t="shared" si="5"/>
        <v>0</v>
      </c>
      <c r="R171" s="124">
        <v>0</v>
      </c>
      <c r="S171" s="124">
        <v>0</v>
      </c>
      <c r="T171" s="124">
        <v>0</v>
      </c>
      <c r="U171" s="124">
        <v>0</v>
      </c>
      <c r="V171" s="124">
        <v>0</v>
      </c>
      <c r="W171" s="41">
        <f t="shared" si="6"/>
        <v>0</v>
      </c>
      <c r="X171" s="124">
        <v>0</v>
      </c>
      <c r="Y171" s="41">
        <f t="shared" si="8"/>
        <v>0</v>
      </c>
      <c r="Z171" s="124">
        <v>0</v>
      </c>
      <c r="AA171" s="124">
        <v>0</v>
      </c>
      <c r="AB171" s="124">
        <v>0</v>
      </c>
      <c r="AC171" s="41">
        <f t="shared" si="7"/>
        <v>0</v>
      </c>
      <c r="AD171" s="124">
        <v>0</v>
      </c>
      <c r="AE171" s="124">
        <v>0</v>
      </c>
      <c r="AF171" s="124">
        <v>0</v>
      </c>
      <c r="AG171" s="124">
        <v>0</v>
      </c>
    </row>
    <row r="172" spans="2:33" ht="14.25" customHeight="1">
      <c r="B172" s="25" t="s">
        <v>334</v>
      </c>
      <c r="C172" s="26" t="s">
        <v>335</v>
      </c>
      <c r="D172" s="124">
        <v>1477709.84</v>
      </c>
      <c r="E172" s="124">
        <v>0</v>
      </c>
      <c r="F172" s="124">
        <v>1297545.62</v>
      </c>
      <c r="G172" s="124">
        <v>0</v>
      </c>
      <c r="H172" s="124">
        <v>1455591.21</v>
      </c>
      <c r="I172" s="124">
        <v>0</v>
      </c>
      <c r="J172" s="124">
        <v>2127734.14</v>
      </c>
      <c r="K172" s="124">
        <v>650024.3</v>
      </c>
      <c r="L172" s="124">
        <v>881328.98</v>
      </c>
      <c r="M172" s="124">
        <v>263194.94</v>
      </c>
      <c r="N172" s="124">
        <v>906814.45</v>
      </c>
      <c r="O172" s="124">
        <v>53092.76</v>
      </c>
      <c r="P172" s="124">
        <v>1352243.2</v>
      </c>
      <c r="Q172" s="41">
        <f t="shared" si="5"/>
        <v>52895.66</v>
      </c>
      <c r="R172" s="124">
        <v>825386.54</v>
      </c>
      <c r="S172" s="124">
        <v>975816.78</v>
      </c>
      <c r="T172" s="124">
        <v>923815.63</v>
      </c>
      <c r="U172" s="124">
        <v>234682.23</v>
      </c>
      <c r="V172" s="124">
        <v>290404.07</v>
      </c>
      <c r="W172" s="41">
        <f t="shared" si="6"/>
        <v>221401.74</v>
      </c>
      <c r="X172" s="124">
        <v>1434477.65</v>
      </c>
      <c r="Y172" s="41">
        <f t="shared" si="8"/>
        <v>1381581.99</v>
      </c>
      <c r="Z172" s="124">
        <v>1281547.71</v>
      </c>
      <c r="AA172" s="124">
        <v>1810535.56</v>
      </c>
      <c r="AB172" s="124">
        <v>1320844.57</v>
      </c>
      <c r="AC172" s="41">
        <f t="shared" si="7"/>
        <v>1320844.57</v>
      </c>
      <c r="AD172" s="124">
        <v>52895.66</v>
      </c>
      <c r="AE172" s="124">
        <v>52895.66</v>
      </c>
      <c r="AF172" s="124">
        <v>221401.74</v>
      </c>
      <c r="AG172" s="124">
        <v>221401.74</v>
      </c>
    </row>
    <row r="173" spans="2:33" ht="14.25" customHeight="1">
      <c r="B173" s="27" t="s">
        <v>336</v>
      </c>
      <c r="C173" s="28" t="s">
        <v>337</v>
      </c>
      <c r="D173" s="124">
        <v>1529029.84</v>
      </c>
      <c r="E173" s="124">
        <v>0</v>
      </c>
      <c r="F173" s="124">
        <v>1348865.62</v>
      </c>
      <c r="G173" s="124">
        <v>0</v>
      </c>
      <c r="H173" s="124">
        <v>1506911.21</v>
      </c>
      <c r="I173" s="124">
        <v>0</v>
      </c>
      <c r="J173" s="124">
        <v>2183330.79</v>
      </c>
      <c r="K173" s="124">
        <v>654300.95</v>
      </c>
      <c r="L173" s="124">
        <v>942413.16</v>
      </c>
      <c r="M173" s="124">
        <v>263194.94</v>
      </c>
      <c r="N173" s="124">
        <v>964951.91</v>
      </c>
      <c r="O173" s="124">
        <v>53092.76</v>
      </c>
      <c r="P173" s="124">
        <v>1403563.1</v>
      </c>
      <c r="Q173" s="41">
        <f t="shared" si="5"/>
        <v>52895.66</v>
      </c>
      <c r="R173" s="124">
        <v>886461.56</v>
      </c>
      <c r="S173" s="124">
        <v>1041991.31</v>
      </c>
      <c r="T173" s="124">
        <v>973002.49</v>
      </c>
      <c r="U173" s="124">
        <v>244853.75</v>
      </c>
      <c r="V173" s="124">
        <v>300584.75</v>
      </c>
      <c r="W173" s="41">
        <f t="shared" si="6"/>
        <v>223545.35</v>
      </c>
      <c r="X173" s="124">
        <v>1485797.65</v>
      </c>
      <c r="Y173" s="41">
        <f t="shared" si="8"/>
        <v>1432901.99</v>
      </c>
      <c r="Z173" s="124">
        <v>1352819.23</v>
      </c>
      <c r="AA173" s="124">
        <v>1877860.44</v>
      </c>
      <c r="AB173" s="124">
        <v>1374308.18</v>
      </c>
      <c r="AC173" s="41">
        <f t="shared" si="7"/>
        <v>1374308.18</v>
      </c>
      <c r="AD173" s="124">
        <v>52895.66</v>
      </c>
      <c r="AE173" s="124">
        <v>52895.66</v>
      </c>
      <c r="AF173" s="124">
        <v>223545.35</v>
      </c>
      <c r="AG173" s="124">
        <v>223545.35</v>
      </c>
    </row>
    <row r="174" spans="2:33" ht="14.25" customHeight="1">
      <c r="B174" s="29">
        <v>1101</v>
      </c>
      <c r="C174" s="26" t="s">
        <v>338</v>
      </c>
      <c r="D174" s="124">
        <v>0</v>
      </c>
      <c r="E174" s="124">
        <v>0</v>
      </c>
      <c r="F174" s="124">
        <v>0</v>
      </c>
      <c r="G174" s="124">
        <v>0</v>
      </c>
      <c r="H174" s="124">
        <v>0</v>
      </c>
      <c r="I174" s="124">
        <v>0</v>
      </c>
      <c r="J174" s="124">
        <v>1900</v>
      </c>
      <c r="K174" s="124">
        <v>1900</v>
      </c>
      <c r="L174" s="124">
        <v>6333</v>
      </c>
      <c r="M174" s="124">
        <v>0</v>
      </c>
      <c r="N174" s="124">
        <v>3233</v>
      </c>
      <c r="O174" s="124">
        <v>0</v>
      </c>
      <c r="P174" s="124">
        <v>0</v>
      </c>
      <c r="Q174" s="41">
        <f t="shared" si="5"/>
        <v>0</v>
      </c>
      <c r="R174" s="124">
        <v>1333</v>
      </c>
      <c r="S174" s="124">
        <v>6333</v>
      </c>
      <c r="T174" s="124">
        <v>0</v>
      </c>
      <c r="U174" s="124">
        <v>0</v>
      </c>
      <c r="V174" s="124">
        <v>5000</v>
      </c>
      <c r="W174" s="41">
        <f t="shared" si="6"/>
        <v>1900</v>
      </c>
      <c r="X174" s="124">
        <v>0</v>
      </c>
      <c r="Y174" s="41">
        <f t="shared" si="8"/>
        <v>0</v>
      </c>
      <c r="Z174" s="124">
        <v>6333</v>
      </c>
      <c r="AA174" s="124">
        <v>8233</v>
      </c>
      <c r="AB174" s="124">
        <v>1900</v>
      </c>
      <c r="AC174" s="41">
        <f t="shared" si="7"/>
        <v>1900</v>
      </c>
      <c r="AD174" s="124">
        <v>0</v>
      </c>
      <c r="AE174" s="124">
        <v>0</v>
      </c>
      <c r="AF174" s="124">
        <v>1900</v>
      </c>
      <c r="AG174" s="124">
        <v>1900</v>
      </c>
    </row>
    <row r="175" spans="2:33" ht="14.25" customHeight="1">
      <c r="B175" s="29">
        <v>1102</v>
      </c>
      <c r="C175" s="26" t="s">
        <v>339</v>
      </c>
      <c r="D175" s="124">
        <v>0</v>
      </c>
      <c r="E175" s="124">
        <v>0</v>
      </c>
      <c r="F175" s="124">
        <v>0</v>
      </c>
      <c r="G175" s="124">
        <v>0</v>
      </c>
      <c r="H175" s="124">
        <v>0</v>
      </c>
      <c r="I175" s="124">
        <v>0</v>
      </c>
      <c r="J175" s="124">
        <v>0</v>
      </c>
      <c r="K175" s="124">
        <v>0</v>
      </c>
      <c r="L175" s="124">
        <v>5000</v>
      </c>
      <c r="M175" s="124">
        <v>0</v>
      </c>
      <c r="N175" s="124">
        <v>0</v>
      </c>
      <c r="O175" s="124">
        <v>0</v>
      </c>
      <c r="P175" s="124">
        <v>0</v>
      </c>
      <c r="Q175" s="41">
        <f t="shared" si="5"/>
        <v>0</v>
      </c>
      <c r="R175" s="124">
        <v>0</v>
      </c>
      <c r="S175" s="124">
        <v>5000</v>
      </c>
      <c r="T175" s="124">
        <v>0</v>
      </c>
      <c r="U175" s="124">
        <v>0</v>
      </c>
      <c r="V175" s="124">
        <v>5000</v>
      </c>
      <c r="W175" s="41">
        <f t="shared" si="6"/>
        <v>0</v>
      </c>
      <c r="X175" s="124">
        <v>0</v>
      </c>
      <c r="Y175" s="41">
        <f t="shared" si="8"/>
        <v>0</v>
      </c>
      <c r="Z175" s="124">
        <v>5000</v>
      </c>
      <c r="AA175" s="124">
        <v>5000</v>
      </c>
      <c r="AB175" s="124">
        <v>0</v>
      </c>
      <c r="AC175" s="41">
        <f t="shared" si="7"/>
        <v>0</v>
      </c>
      <c r="AD175" s="124">
        <v>0</v>
      </c>
      <c r="AE175" s="124">
        <v>0</v>
      </c>
      <c r="AF175" s="124">
        <v>0</v>
      </c>
      <c r="AG175" s="124">
        <v>0</v>
      </c>
    </row>
    <row r="176" spans="2:33" ht="14.25" customHeight="1">
      <c r="B176" s="27" t="s">
        <v>340</v>
      </c>
      <c r="C176" s="28" t="s">
        <v>341</v>
      </c>
      <c r="D176" s="124">
        <v>0</v>
      </c>
      <c r="E176" s="124">
        <v>0</v>
      </c>
      <c r="F176" s="124">
        <v>0</v>
      </c>
      <c r="G176" s="124">
        <v>0</v>
      </c>
      <c r="H176" s="124">
        <v>0</v>
      </c>
      <c r="I176" s="124">
        <v>0</v>
      </c>
      <c r="J176" s="124">
        <v>1900</v>
      </c>
      <c r="K176" s="124">
        <v>1900</v>
      </c>
      <c r="L176" s="124">
        <v>11333</v>
      </c>
      <c r="M176" s="124">
        <v>0</v>
      </c>
      <c r="N176" s="124">
        <v>3233</v>
      </c>
      <c r="O176" s="124">
        <v>0</v>
      </c>
      <c r="P176" s="124">
        <v>0</v>
      </c>
      <c r="Q176" s="41">
        <f t="shared" si="5"/>
        <v>0</v>
      </c>
      <c r="R176" s="124">
        <v>1333</v>
      </c>
      <c r="S176" s="124">
        <v>11333</v>
      </c>
      <c r="T176" s="124">
        <v>0</v>
      </c>
      <c r="U176" s="124">
        <v>0</v>
      </c>
      <c r="V176" s="124">
        <v>10000</v>
      </c>
      <c r="W176" s="41">
        <f t="shared" si="6"/>
        <v>1900</v>
      </c>
      <c r="X176" s="124">
        <v>0</v>
      </c>
      <c r="Y176" s="41">
        <f t="shared" si="8"/>
        <v>0</v>
      </c>
      <c r="Z176" s="124">
        <v>11333</v>
      </c>
      <c r="AA176" s="124">
        <v>13233</v>
      </c>
      <c r="AB176" s="124">
        <v>1900</v>
      </c>
      <c r="AC176" s="41">
        <f t="shared" si="7"/>
        <v>1900</v>
      </c>
      <c r="AD176" s="124">
        <v>0</v>
      </c>
      <c r="AE176" s="124">
        <v>0</v>
      </c>
      <c r="AF176" s="124">
        <v>1900</v>
      </c>
      <c r="AG176" s="124">
        <v>1900</v>
      </c>
    </row>
    <row r="177" spans="2:33" ht="14.25" customHeight="1">
      <c r="B177" s="25" t="s">
        <v>342</v>
      </c>
      <c r="C177" s="26" t="s">
        <v>343</v>
      </c>
      <c r="D177" s="124">
        <v>563928.05</v>
      </c>
      <c r="E177" s="124">
        <v>0</v>
      </c>
      <c r="F177" s="124">
        <v>563636.95</v>
      </c>
      <c r="G177" s="124">
        <v>0</v>
      </c>
      <c r="H177" s="124">
        <v>563656.95</v>
      </c>
      <c r="I177" s="124">
        <v>0</v>
      </c>
      <c r="J177" s="124">
        <v>682009.36</v>
      </c>
      <c r="K177" s="124">
        <v>118081.31</v>
      </c>
      <c r="L177" s="124">
        <v>441452.01</v>
      </c>
      <c r="M177" s="124">
        <v>62.11</v>
      </c>
      <c r="N177" s="124">
        <v>535173.76</v>
      </c>
      <c r="O177" s="124">
        <v>5.19</v>
      </c>
      <c r="P177" s="124">
        <v>570558.36</v>
      </c>
      <c r="Q177" s="41">
        <f t="shared" si="5"/>
        <v>24.18</v>
      </c>
      <c r="R177" s="124">
        <v>401262.07</v>
      </c>
      <c r="S177" s="124">
        <v>513737.22</v>
      </c>
      <c r="T177" s="124">
        <v>565320.01</v>
      </c>
      <c r="U177" s="124">
        <v>51753.09</v>
      </c>
      <c r="V177" s="124">
        <v>91601.38</v>
      </c>
      <c r="W177" s="41">
        <f t="shared" si="6"/>
        <v>113037.92</v>
      </c>
      <c r="X177" s="124">
        <v>578905.28</v>
      </c>
      <c r="Y177" s="41">
        <f t="shared" si="8"/>
        <v>578881.1</v>
      </c>
      <c r="Z177" s="124">
        <v>478713.24</v>
      </c>
      <c r="AA177" s="124">
        <v>612482.59</v>
      </c>
      <c r="AB177" s="124">
        <v>691943.2</v>
      </c>
      <c r="AC177" s="41">
        <f t="shared" si="7"/>
        <v>691943.2</v>
      </c>
      <c r="AD177" s="124">
        <v>24.18</v>
      </c>
      <c r="AE177" s="124">
        <v>24.18</v>
      </c>
      <c r="AF177" s="124">
        <v>112821.59</v>
      </c>
      <c r="AG177" s="124">
        <v>113037.92</v>
      </c>
    </row>
    <row r="178" spans="2:33" ht="14.25" customHeight="1">
      <c r="B178" s="25" t="s">
        <v>344</v>
      </c>
      <c r="C178" s="26" t="s">
        <v>345</v>
      </c>
      <c r="D178" s="124">
        <v>90283.45</v>
      </c>
      <c r="E178" s="124">
        <v>0</v>
      </c>
      <c r="F178" s="124">
        <v>90844.71</v>
      </c>
      <c r="G178" s="124">
        <v>0</v>
      </c>
      <c r="H178" s="124">
        <v>90844.71</v>
      </c>
      <c r="I178" s="124">
        <v>0</v>
      </c>
      <c r="J178" s="124">
        <v>106516.75</v>
      </c>
      <c r="K178" s="124">
        <v>16233.3</v>
      </c>
      <c r="L178" s="124">
        <v>382291.09</v>
      </c>
      <c r="M178" s="124">
        <v>536.81</v>
      </c>
      <c r="N178" s="124">
        <v>181441.2</v>
      </c>
      <c r="O178" s="124">
        <v>22.26</v>
      </c>
      <c r="P178" s="124">
        <v>75460.96</v>
      </c>
      <c r="Q178" s="41">
        <f t="shared" si="5"/>
        <v>0</v>
      </c>
      <c r="R178" s="124">
        <v>370038.04</v>
      </c>
      <c r="S178" s="124">
        <v>185351.67</v>
      </c>
      <c r="T178" s="124">
        <v>88992.27</v>
      </c>
      <c r="U178" s="124">
        <v>21416.63</v>
      </c>
      <c r="V178" s="124">
        <v>33669.68</v>
      </c>
      <c r="W178" s="41">
        <f t="shared" si="6"/>
        <v>29759.21</v>
      </c>
      <c r="X178" s="124">
        <v>101844.12</v>
      </c>
      <c r="Y178" s="41">
        <f t="shared" si="8"/>
        <v>101844.12</v>
      </c>
      <c r="Z178" s="124">
        <v>443288.67</v>
      </c>
      <c r="AA178" s="124">
        <v>234157.65</v>
      </c>
      <c r="AB178" s="124">
        <v>131603.33</v>
      </c>
      <c r="AC178" s="41">
        <f t="shared" si="7"/>
        <v>131603.33</v>
      </c>
      <c r="AD178" s="124">
        <v>0</v>
      </c>
      <c r="AE178" s="124">
        <v>0</v>
      </c>
      <c r="AF178" s="124">
        <v>29759.21</v>
      </c>
      <c r="AG178" s="124">
        <v>29759.21</v>
      </c>
    </row>
    <row r="179" spans="2:33" ht="14.25" customHeight="1">
      <c r="B179" s="25" t="s">
        <v>346</v>
      </c>
      <c r="C179" s="26" t="s">
        <v>347</v>
      </c>
      <c r="D179" s="124">
        <v>121745</v>
      </c>
      <c r="E179" s="124">
        <v>0</v>
      </c>
      <c r="F179" s="124">
        <v>121750</v>
      </c>
      <c r="G179" s="124">
        <v>0</v>
      </c>
      <c r="H179" s="124">
        <v>121750</v>
      </c>
      <c r="I179" s="124">
        <v>0</v>
      </c>
      <c r="J179" s="124">
        <v>172677.64</v>
      </c>
      <c r="K179" s="124">
        <v>50932.64</v>
      </c>
      <c r="L179" s="124">
        <v>82419.03</v>
      </c>
      <c r="M179" s="124">
        <v>0</v>
      </c>
      <c r="N179" s="124">
        <v>157755.68</v>
      </c>
      <c r="O179" s="124">
        <v>2632.79</v>
      </c>
      <c r="P179" s="124">
        <v>142046.88</v>
      </c>
      <c r="Q179" s="41">
        <f t="shared" si="5"/>
        <v>0</v>
      </c>
      <c r="R179" s="124">
        <v>56600.5</v>
      </c>
      <c r="S179" s="124">
        <v>172613.83</v>
      </c>
      <c r="T179" s="124">
        <v>112743.27</v>
      </c>
      <c r="U179" s="124">
        <v>10667.16</v>
      </c>
      <c r="V179" s="124">
        <v>36485.18</v>
      </c>
      <c r="W179" s="41">
        <f t="shared" si="6"/>
        <v>21627.03</v>
      </c>
      <c r="X179" s="124">
        <v>142732.79</v>
      </c>
      <c r="Y179" s="41">
        <f t="shared" si="8"/>
        <v>142732.79</v>
      </c>
      <c r="Z179" s="124">
        <v>190391.87</v>
      </c>
      <c r="AA179" s="124">
        <v>299396.45</v>
      </c>
      <c r="AB179" s="124">
        <v>164359.82</v>
      </c>
      <c r="AC179" s="41">
        <f t="shared" si="7"/>
        <v>164359.82</v>
      </c>
      <c r="AD179" s="124">
        <v>0</v>
      </c>
      <c r="AE179" s="124">
        <v>0</v>
      </c>
      <c r="AF179" s="124">
        <v>21627.03</v>
      </c>
      <c r="AG179" s="124">
        <v>21627.03</v>
      </c>
    </row>
    <row r="180" spans="2:33" ht="14.25" customHeight="1">
      <c r="B180" s="25" t="s">
        <v>348</v>
      </c>
      <c r="C180" s="26" t="s">
        <v>349</v>
      </c>
      <c r="D180" s="124">
        <v>30700</v>
      </c>
      <c r="E180" s="124">
        <v>0</v>
      </c>
      <c r="F180" s="124">
        <v>30660</v>
      </c>
      <c r="G180" s="124">
        <v>0</v>
      </c>
      <c r="H180" s="124">
        <v>30660</v>
      </c>
      <c r="I180" s="124">
        <v>0</v>
      </c>
      <c r="J180" s="124">
        <v>36998.92</v>
      </c>
      <c r="K180" s="124">
        <v>6298.92</v>
      </c>
      <c r="L180" s="124">
        <v>12426.44</v>
      </c>
      <c r="M180" s="124">
        <v>0</v>
      </c>
      <c r="N180" s="124">
        <v>28084.18</v>
      </c>
      <c r="O180" s="124">
        <v>0</v>
      </c>
      <c r="P180" s="124">
        <v>24700.56</v>
      </c>
      <c r="Q180" s="41">
        <f t="shared" si="5"/>
        <v>0</v>
      </c>
      <c r="R180" s="124">
        <v>9780.44</v>
      </c>
      <c r="S180" s="124">
        <v>24123.5</v>
      </c>
      <c r="T180" s="124">
        <v>25008.32</v>
      </c>
      <c r="U180" s="124">
        <v>0</v>
      </c>
      <c r="V180" s="124">
        <v>2646</v>
      </c>
      <c r="W180" s="41">
        <f t="shared" si="6"/>
        <v>6606.68</v>
      </c>
      <c r="X180" s="124">
        <v>33943.1</v>
      </c>
      <c r="Y180" s="41">
        <f t="shared" si="8"/>
        <v>33943.1</v>
      </c>
      <c r="Z180" s="124">
        <v>14130</v>
      </c>
      <c r="AA180" s="124">
        <v>46492.48</v>
      </c>
      <c r="AB180" s="124">
        <v>40549.78</v>
      </c>
      <c r="AC180" s="41">
        <f t="shared" si="7"/>
        <v>40549.78</v>
      </c>
      <c r="AD180" s="124">
        <v>0</v>
      </c>
      <c r="AE180" s="124">
        <v>0</v>
      </c>
      <c r="AF180" s="124">
        <v>6606.68</v>
      </c>
      <c r="AG180" s="124">
        <v>6606.68</v>
      </c>
    </row>
    <row r="181" spans="2:33" ht="14.25" customHeight="1">
      <c r="B181" s="25" t="s">
        <v>350</v>
      </c>
      <c r="C181" s="26" t="s">
        <v>351</v>
      </c>
      <c r="D181" s="124">
        <v>13000</v>
      </c>
      <c r="E181" s="124">
        <v>0</v>
      </c>
      <c r="F181" s="124">
        <v>13000</v>
      </c>
      <c r="G181" s="124">
        <v>0</v>
      </c>
      <c r="H181" s="124">
        <v>13000</v>
      </c>
      <c r="I181" s="124">
        <v>0</v>
      </c>
      <c r="J181" s="124">
        <v>33000</v>
      </c>
      <c r="K181" s="124">
        <v>20000</v>
      </c>
      <c r="L181" s="124">
        <v>25140</v>
      </c>
      <c r="M181" s="124">
        <v>0</v>
      </c>
      <c r="N181" s="124">
        <v>7450</v>
      </c>
      <c r="O181" s="124">
        <v>0</v>
      </c>
      <c r="P181" s="124">
        <v>20000</v>
      </c>
      <c r="Q181" s="41">
        <f t="shared" si="5"/>
        <v>0</v>
      </c>
      <c r="R181" s="124">
        <v>25200</v>
      </c>
      <c r="S181" s="124">
        <v>23540</v>
      </c>
      <c r="T181" s="124">
        <v>4550</v>
      </c>
      <c r="U181" s="124">
        <v>20700</v>
      </c>
      <c r="V181" s="124">
        <v>20640</v>
      </c>
      <c r="W181" s="41">
        <f t="shared" si="6"/>
        <v>4550</v>
      </c>
      <c r="X181" s="124">
        <v>20000</v>
      </c>
      <c r="Y181" s="41">
        <f t="shared" si="8"/>
        <v>20000</v>
      </c>
      <c r="Z181" s="124">
        <v>45900</v>
      </c>
      <c r="AA181" s="124">
        <v>55640</v>
      </c>
      <c r="AB181" s="124">
        <v>24550</v>
      </c>
      <c r="AC181" s="41">
        <f t="shared" si="7"/>
        <v>24550</v>
      </c>
      <c r="AD181" s="124">
        <v>0</v>
      </c>
      <c r="AE181" s="124">
        <v>0</v>
      </c>
      <c r="AF181" s="124">
        <v>4550</v>
      </c>
      <c r="AG181" s="124">
        <v>4550</v>
      </c>
    </row>
    <row r="182" spans="2:33" ht="14.25" customHeight="1">
      <c r="B182" s="25" t="s">
        <v>352</v>
      </c>
      <c r="C182" s="26" t="s">
        <v>353</v>
      </c>
      <c r="D182" s="124">
        <v>0</v>
      </c>
      <c r="E182" s="124">
        <v>0</v>
      </c>
      <c r="F182" s="124">
        <v>0</v>
      </c>
      <c r="G182" s="124">
        <v>0</v>
      </c>
      <c r="H182" s="124">
        <v>0</v>
      </c>
      <c r="I182" s="124">
        <v>0</v>
      </c>
      <c r="J182" s="124">
        <v>0</v>
      </c>
      <c r="K182" s="124">
        <v>0</v>
      </c>
      <c r="L182" s="124">
        <v>0</v>
      </c>
      <c r="M182" s="124">
        <v>0</v>
      </c>
      <c r="N182" s="124">
        <v>0</v>
      </c>
      <c r="O182" s="124">
        <v>0</v>
      </c>
      <c r="P182" s="124">
        <v>1807.92</v>
      </c>
      <c r="Q182" s="41">
        <f t="shared" si="5"/>
        <v>0</v>
      </c>
      <c r="R182" s="124">
        <v>927.2</v>
      </c>
      <c r="S182" s="124">
        <v>0</v>
      </c>
      <c r="T182" s="124">
        <v>1807.92</v>
      </c>
      <c r="U182" s="124">
        <v>927.2</v>
      </c>
      <c r="V182" s="124">
        <v>0</v>
      </c>
      <c r="W182" s="41">
        <f t="shared" si="6"/>
        <v>0</v>
      </c>
      <c r="X182" s="124">
        <v>7637</v>
      </c>
      <c r="Y182" s="41">
        <f t="shared" si="8"/>
        <v>7637</v>
      </c>
      <c r="Z182" s="124">
        <v>8564.2</v>
      </c>
      <c r="AA182" s="124">
        <v>0</v>
      </c>
      <c r="AB182" s="124">
        <v>7637</v>
      </c>
      <c r="AC182" s="41">
        <f t="shared" si="7"/>
        <v>7637</v>
      </c>
      <c r="AD182" s="124">
        <v>0</v>
      </c>
      <c r="AE182" s="124">
        <v>0</v>
      </c>
      <c r="AF182" s="124">
        <v>0</v>
      </c>
      <c r="AG182" s="124">
        <v>0</v>
      </c>
    </row>
    <row r="183" spans="2:33" ht="14.25" customHeight="1">
      <c r="B183" s="25" t="s">
        <v>354</v>
      </c>
      <c r="C183" s="26" t="s">
        <v>355</v>
      </c>
      <c r="D183" s="124">
        <v>1649819.17</v>
      </c>
      <c r="E183" s="124">
        <v>0</v>
      </c>
      <c r="F183" s="124">
        <v>1652043.38</v>
      </c>
      <c r="G183" s="124">
        <v>0</v>
      </c>
      <c r="H183" s="124">
        <v>652043.38</v>
      </c>
      <c r="I183" s="124">
        <v>0</v>
      </c>
      <c r="J183" s="124">
        <v>1654289.12</v>
      </c>
      <c r="K183" s="124">
        <v>4469.95</v>
      </c>
      <c r="L183" s="124">
        <v>414500</v>
      </c>
      <c r="M183" s="124">
        <v>0</v>
      </c>
      <c r="N183" s="124">
        <v>553028.54</v>
      </c>
      <c r="O183" s="124">
        <v>216.22</v>
      </c>
      <c r="P183" s="124">
        <v>613977.08</v>
      </c>
      <c r="Q183" s="41">
        <f t="shared" si="5"/>
        <v>436.69</v>
      </c>
      <c r="R183" s="124">
        <v>415700</v>
      </c>
      <c r="S183" s="124">
        <v>550978.14</v>
      </c>
      <c r="T183" s="124">
        <v>611643.88</v>
      </c>
      <c r="U183" s="124">
        <v>1200</v>
      </c>
      <c r="V183" s="124">
        <v>0</v>
      </c>
      <c r="W183" s="41">
        <f t="shared" si="6"/>
        <v>2050.4</v>
      </c>
      <c r="X183" s="124">
        <v>624829.56</v>
      </c>
      <c r="Y183" s="41">
        <f t="shared" si="8"/>
        <v>624392.8700000001</v>
      </c>
      <c r="Z183" s="124">
        <v>415700</v>
      </c>
      <c r="AA183" s="124">
        <v>555353.71</v>
      </c>
      <c r="AB183" s="124">
        <v>626879.96</v>
      </c>
      <c r="AC183" s="41">
        <f t="shared" si="7"/>
        <v>626879.96</v>
      </c>
      <c r="AD183" s="124">
        <v>436.69</v>
      </c>
      <c r="AE183" s="124">
        <v>436.69</v>
      </c>
      <c r="AF183" s="124">
        <v>2050.4</v>
      </c>
      <c r="AG183" s="124">
        <v>2050.4</v>
      </c>
    </row>
    <row r="184" spans="2:33" ht="14.25" customHeight="1">
      <c r="B184" s="25" t="s">
        <v>356</v>
      </c>
      <c r="C184" s="26" t="s">
        <v>357</v>
      </c>
      <c r="D184" s="124">
        <v>35729.92</v>
      </c>
      <c r="E184" s="124">
        <v>0</v>
      </c>
      <c r="F184" s="124">
        <v>33927.5</v>
      </c>
      <c r="G184" s="124">
        <v>0</v>
      </c>
      <c r="H184" s="124">
        <v>33950</v>
      </c>
      <c r="I184" s="124">
        <v>0</v>
      </c>
      <c r="J184" s="124">
        <v>62364.08</v>
      </c>
      <c r="K184" s="124">
        <v>26634.16</v>
      </c>
      <c r="L184" s="124">
        <v>13973.6</v>
      </c>
      <c r="M184" s="124">
        <v>0</v>
      </c>
      <c r="N184" s="124">
        <v>33549.92</v>
      </c>
      <c r="O184" s="124">
        <v>0</v>
      </c>
      <c r="P184" s="124">
        <v>40093.52</v>
      </c>
      <c r="Q184" s="41">
        <f t="shared" si="5"/>
        <v>0</v>
      </c>
      <c r="R184" s="124">
        <v>12516.84</v>
      </c>
      <c r="S184" s="124">
        <v>15097.93</v>
      </c>
      <c r="T184" s="124">
        <v>36240.67</v>
      </c>
      <c r="U184" s="124">
        <v>4747.73</v>
      </c>
      <c r="V184" s="124">
        <v>4329.31</v>
      </c>
      <c r="W184" s="41">
        <f t="shared" si="6"/>
        <v>22781.3</v>
      </c>
      <c r="X184" s="124">
        <v>41580</v>
      </c>
      <c r="Y184" s="41">
        <f t="shared" si="8"/>
        <v>41580</v>
      </c>
      <c r="Z184" s="124">
        <v>21067.81</v>
      </c>
      <c r="AA184" s="124">
        <v>42954.49</v>
      </c>
      <c r="AB184" s="124">
        <v>64361.3</v>
      </c>
      <c r="AC184" s="41">
        <f t="shared" si="7"/>
        <v>64361.3</v>
      </c>
      <c r="AD184" s="124">
        <v>0</v>
      </c>
      <c r="AE184" s="124">
        <v>0</v>
      </c>
      <c r="AF184" s="124">
        <v>22781.3</v>
      </c>
      <c r="AG184" s="124">
        <v>22781.3</v>
      </c>
    </row>
    <row r="185" spans="2:33" ht="14.25" customHeight="1">
      <c r="B185" s="25" t="s">
        <v>358</v>
      </c>
      <c r="C185" s="26" t="s">
        <v>359</v>
      </c>
      <c r="D185" s="124">
        <v>387867.75</v>
      </c>
      <c r="E185" s="124">
        <v>0</v>
      </c>
      <c r="F185" s="124">
        <v>117747.33</v>
      </c>
      <c r="G185" s="124">
        <v>0</v>
      </c>
      <c r="H185" s="124">
        <v>118097.33</v>
      </c>
      <c r="I185" s="124">
        <v>0</v>
      </c>
      <c r="J185" s="124">
        <v>422904.66</v>
      </c>
      <c r="K185" s="124">
        <v>35036.91</v>
      </c>
      <c r="L185" s="124">
        <v>127198.57</v>
      </c>
      <c r="M185" s="124">
        <v>0</v>
      </c>
      <c r="N185" s="124">
        <v>159232.63</v>
      </c>
      <c r="O185" s="124">
        <v>4065.28</v>
      </c>
      <c r="P185" s="124">
        <v>148805.5</v>
      </c>
      <c r="Q185" s="41">
        <f t="shared" si="5"/>
        <v>5978</v>
      </c>
      <c r="R185" s="124">
        <v>137172.24</v>
      </c>
      <c r="S185" s="124">
        <v>153097.85</v>
      </c>
      <c r="T185" s="124">
        <v>139215.63</v>
      </c>
      <c r="U185" s="124">
        <v>29962.59</v>
      </c>
      <c r="V185" s="124">
        <v>19250.36</v>
      </c>
      <c r="W185" s="41">
        <f t="shared" si="6"/>
        <v>25385.14</v>
      </c>
      <c r="X185" s="124">
        <v>158002.05</v>
      </c>
      <c r="Y185" s="41">
        <f t="shared" si="8"/>
        <v>152024.05</v>
      </c>
      <c r="Z185" s="124">
        <v>161286.09</v>
      </c>
      <c r="AA185" s="124">
        <v>206089.82</v>
      </c>
      <c r="AB185" s="124">
        <v>183387.19</v>
      </c>
      <c r="AC185" s="41">
        <f t="shared" si="7"/>
        <v>183387.19</v>
      </c>
      <c r="AD185" s="124">
        <v>5978</v>
      </c>
      <c r="AE185" s="124">
        <v>5978</v>
      </c>
      <c r="AF185" s="124">
        <v>25385.14</v>
      </c>
      <c r="AG185" s="124">
        <v>25385.14</v>
      </c>
    </row>
    <row r="186" spans="2:33" ht="14.25" customHeight="1">
      <c r="B186" s="27" t="s">
        <v>360</v>
      </c>
      <c r="C186" s="28" t="s">
        <v>361</v>
      </c>
      <c r="D186" s="124">
        <v>2893073.34</v>
      </c>
      <c r="E186" s="124">
        <v>0</v>
      </c>
      <c r="F186" s="124">
        <v>2623609.87</v>
      </c>
      <c r="G186" s="124">
        <v>0</v>
      </c>
      <c r="H186" s="124">
        <v>1624002.37</v>
      </c>
      <c r="I186" s="124">
        <v>0</v>
      </c>
      <c r="J186" s="124">
        <v>3170760.53</v>
      </c>
      <c r="K186" s="124">
        <v>277687.19</v>
      </c>
      <c r="L186" s="124">
        <v>1499400.74</v>
      </c>
      <c r="M186" s="124">
        <v>598.92</v>
      </c>
      <c r="N186" s="124">
        <v>1655715.91</v>
      </c>
      <c r="O186" s="124">
        <v>6941.74</v>
      </c>
      <c r="P186" s="124">
        <v>1637450.78</v>
      </c>
      <c r="Q186" s="41">
        <f t="shared" si="5"/>
        <v>6438.87</v>
      </c>
      <c r="R186" s="124">
        <v>1429197.33</v>
      </c>
      <c r="S186" s="124">
        <v>1638540.14</v>
      </c>
      <c r="T186" s="124">
        <v>1585521.97</v>
      </c>
      <c r="U186" s="124">
        <v>141374.4</v>
      </c>
      <c r="V186" s="124">
        <v>208621.91</v>
      </c>
      <c r="W186" s="41">
        <f t="shared" si="6"/>
        <v>225797.68</v>
      </c>
      <c r="X186" s="124">
        <v>1709473.9</v>
      </c>
      <c r="Y186" s="41">
        <f t="shared" si="8"/>
        <v>1703035.0299999998</v>
      </c>
      <c r="Z186" s="124">
        <v>1779041.88</v>
      </c>
      <c r="AA186" s="124">
        <v>2052567.19</v>
      </c>
      <c r="AB186" s="124">
        <v>1935271.58</v>
      </c>
      <c r="AC186" s="41">
        <f t="shared" si="7"/>
        <v>1935271.58</v>
      </c>
      <c r="AD186" s="124">
        <v>6438.87</v>
      </c>
      <c r="AE186" s="124">
        <v>6438.87</v>
      </c>
      <c r="AF186" s="124">
        <v>225581.35</v>
      </c>
      <c r="AG186" s="124">
        <v>225797.68</v>
      </c>
    </row>
    <row r="187" spans="2:33" ht="14.25" customHeight="1">
      <c r="B187" s="25" t="s">
        <v>362</v>
      </c>
      <c r="C187" s="26" t="s">
        <v>363</v>
      </c>
      <c r="D187" s="124">
        <v>0</v>
      </c>
      <c r="E187" s="124">
        <v>0</v>
      </c>
      <c r="F187" s="124">
        <v>0</v>
      </c>
      <c r="G187" s="124">
        <v>0</v>
      </c>
      <c r="H187" s="124">
        <v>0</v>
      </c>
      <c r="I187" s="124">
        <v>0</v>
      </c>
      <c r="J187" s="124">
        <v>0</v>
      </c>
      <c r="K187" s="124">
        <v>0</v>
      </c>
      <c r="L187" s="124">
        <v>0</v>
      </c>
      <c r="M187" s="124">
        <v>0</v>
      </c>
      <c r="N187" s="124">
        <v>0</v>
      </c>
      <c r="O187" s="124">
        <v>0</v>
      </c>
      <c r="P187" s="124">
        <v>0</v>
      </c>
      <c r="Q187" s="41">
        <f t="shared" si="5"/>
        <v>0</v>
      </c>
      <c r="R187" s="124">
        <v>0</v>
      </c>
      <c r="S187" s="124">
        <v>0</v>
      </c>
      <c r="T187" s="124">
        <v>0</v>
      </c>
      <c r="U187" s="124">
        <v>0</v>
      </c>
      <c r="V187" s="124">
        <v>0</v>
      </c>
      <c r="W187" s="41">
        <f t="shared" si="6"/>
        <v>0</v>
      </c>
      <c r="X187" s="124">
        <v>0</v>
      </c>
      <c r="Y187" s="41">
        <f t="shared" si="8"/>
        <v>0</v>
      </c>
      <c r="Z187" s="124">
        <v>0</v>
      </c>
      <c r="AA187" s="124">
        <v>0</v>
      </c>
      <c r="AB187" s="124">
        <v>0</v>
      </c>
      <c r="AC187" s="41">
        <f t="shared" si="7"/>
        <v>0</v>
      </c>
      <c r="AD187" s="124">
        <v>0</v>
      </c>
      <c r="AE187" s="124">
        <v>0</v>
      </c>
      <c r="AF187" s="124">
        <v>0</v>
      </c>
      <c r="AG187" s="124">
        <v>0</v>
      </c>
    </row>
    <row r="188" spans="2:33" ht="14.25" customHeight="1">
      <c r="B188" s="25" t="s">
        <v>364</v>
      </c>
      <c r="C188" s="26" t="s">
        <v>365</v>
      </c>
      <c r="D188" s="124">
        <v>0</v>
      </c>
      <c r="E188" s="124">
        <v>0</v>
      </c>
      <c r="F188" s="124">
        <v>0</v>
      </c>
      <c r="G188" s="124">
        <v>0</v>
      </c>
      <c r="H188" s="124">
        <v>0</v>
      </c>
      <c r="I188" s="124">
        <v>0</v>
      </c>
      <c r="J188" s="124">
        <v>0</v>
      </c>
      <c r="K188" s="124">
        <v>0</v>
      </c>
      <c r="L188" s="124">
        <v>0</v>
      </c>
      <c r="M188" s="124">
        <v>0</v>
      </c>
      <c r="N188" s="124">
        <v>0</v>
      </c>
      <c r="O188" s="124">
        <v>0</v>
      </c>
      <c r="P188" s="124">
        <v>0</v>
      </c>
      <c r="Q188" s="41">
        <f aca="true" t="shared" si="9" ref="Q188:Q227">IF($D$238=1,(AE188+0),(AD188+0))</f>
        <v>0</v>
      </c>
      <c r="R188" s="124">
        <v>0</v>
      </c>
      <c r="S188" s="124">
        <v>0</v>
      </c>
      <c r="T188" s="124">
        <v>0</v>
      </c>
      <c r="U188" s="124">
        <v>0</v>
      </c>
      <c r="V188" s="124">
        <v>0</v>
      </c>
      <c r="W188" s="41">
        <f aca="true" t="shared" si="10" ref="W188:W224">IF($D$238=1,AF188,(AG188+0))</f>
        <v>0</v>
      </c>
      <c r="X188" s="124">
        <v>0</v>
      </c>
      <c r="Y188" s="41">
        <f t="shared" si="8"/>
        <v>0</v>
      </c>
      <c r="Z188" s="124">
        <v>0</v>
      </c>
      <c r="AA188" s="124">
        <v>0</v>
      </c>
      <c r="AB188" s="124">
        <v>0</v>
      </c>
      <c r="AC188" s="41">
        <f aca="true" t="shared" si="11" ref="AC188:AC224">IF($D$238=1,T188,(AB188+0))</f>
        <v>0</v>
      </c>
      <c r="AD188" s="124">
        <v>0</v>
      </c>
      <c r="AE188" s="124">
        <v>0</v>
      </c>
      <c r="AF188" s="124">
        <v>0</v>
      </c>
      <c r="AG188" s="124">
        <v>0</v>
      </c>
    </row>
    <row r="189" spans="2:33" ht="14.25" customHeight="1">
      <c r="B189" s="25" t="s">
        <v>366</v>
      </c>
      <c r="C189" s="26" t="s">
        <v>367</v>
      </c>
      <c r="D189" s="124">
        <v>0</v>
      </c>
      <c r="E189" s="124">
        <v>0</v>
      </c>
      <c r="F189" s="124">
        <v>0</v>
      </c>
      <c r="G189" s="124">
        <v>0</v>
      </c>
      <c r="H189" s="124">
        <v>0</v>
      </c>
      <c r="I189" s="124">
        <v>0</v>
      </c>
      <c r="J189" s="124">
        <v>0</v>
      </c>
      <c r="K189" s="124">
        <v>0</v>
      </c>
      <c r="L189" s="124">
        <v>0</v>
      </c>
      <c r="M189" s="124">
        <v>0</v>
      </c>
      <c r="N189" s="124">
        <v>0</v>
      </c>
      <c r="O189" s="124">
        <v>0</v>
      </c>
      <c r="P189" s="124">
        <v>0</v>
      </c>
      <c r="Q189" s="41">
        <f t="shared" si="9"/>
        <v>0</v>
      </c>
      <c r="R189" s="124">
        <v>0</v>
      </c>
      <c r="S189" s="124">
        <v>0</v>
      </c>
      <c r="T189" s="124">
        <v>0</v>
      </c>
      <c r="U189" s="124">
        <v>0</v>
      </c>
      <c r="V189" s="124">
        <v>0</v>
      </c>
      <c r="W189" s="41">
        <f t="shared" si="10"/>
        <v>0</v>
      </c>
      <c r="X189" s="124">
        <v>0</v>
      </c>
      <c r="Y189" s="41">
        <f aca="true" t="shared" si="12" ref="Y189:Y227">IF($D$238=1,P189,(X189-AD189))</f>
        <v>0</v>
      </c>
      <c r="Z189" s="124">
        <v>0</v>
      </c>
      <c r="AA189" s="124">
        <v>0</v>
      </c>
      <c r="AB189" s="124">
        <v>0</v>
      </c>
      <c r="AC189" s="41">
        <f t="shared" si="11"/>
        <v>0</v>
      </c>
      <c r="AD189" s="124">
        <v>0</v>
      </c>
      <c r="AE189" s="124">
        <v>0</v>
      </c>
      <c r="AF189" s="124">
        <v>0</v>
      </c>
      <c r="AG189" s="124">
        <v>0</v>
      </c>
    </row>
    <row r="190" spans="2:33" ht="14.25" customHeight="1">
      <c r="B190" s="25" t="s">
        <v>368</v>
      </c>
      <c r="C190" s="26" t="s">
        <v>369</v>
      </c>
      <c r="D190" s="124">
        <v>0</v>
      </c>
      <c r="E190" s="124">
        <v>0</v>
      </c>
      <c r="F190" s="124">
        <v>0</v>
      </c>
      <c r="G190" s="124">
        <v>0</v>
      </c>
      <c r="H190" s="124">
        <v>0</v>
      </c>
      <c r="I190" s="124">
        <v>0</v>
      </c>
      <c r="J190" s="124">
        <v>0</v>
      </c>
      <c r="K190" s="124">
        <v>0</v>
      </c>
      <c r="L190" s="124">
        <v>0</v>
      </c>
      <c r="M190" s="124">
        <v>0</v>
      </c>
      <c r="N190" s="124">
        <v>0</v>
      </c>
      <c r="O190" s="124">
        <v>0</v>
      </c>
      <c r="P190" s="124">
        <v>0</v>
      </c>
      <c r="Q190" s="41">
        <f t="shared" si="9"/>
        <v>0</v>
      </c>
      <c r="R190" s="124">
        <v>0</v>
      </c>
      <c r="S190" s="124">
        <v>0</v>
      </c>
      <c r="T190" s="124">
        <v>0</v>
      </c>
      <c r="U190" s="124">
        <v>0</v>
      </c>
      <c r="V190" s="124">
        <v>0</v>
      </c>
      <c r="W190" s="41">
        <f t="shared" si="10"/>
        <v>0</v>
      </c>
      <c r="X190" s="124">
        <v>0</v>
      </c>
      <c r="Y190" s="41">
        <f t="shared" si="12"/>
        <v>0</v>
      </c>
      <c r="Z190" s="124">
        <v>0</v>
      </c>
      <c r="AA190" s="124">
        <v>0</v>
      </c>
      <c r="AB190" s="124">
        <v>0</v>
      </c>
      <c r="AC190" s="41">
        <f t="shared" si="11"/>
        <v>0</v>
      </c>
      <c r="AD190" s="124">
        <v>0</v>
      </c>
      <c r="AE190" s="124">
        <v>0</v>
      </c>
      <c r="AF190" s="124">
        <v>0</v>
      </c>
      <c r="AG190" s="124">
        <v>0</v>
      </c>
    </row>
    <row r="191" spans="2:33" ht="14.25" customHeight="1">
      <c r="B191" s="25" t="s">
        <v>370</v>
      </c>
      <c r="C191" s="26" t="s">
        <v>371</v>
      </c>
      <c r="D191" s="124">
        <v>0</v>
      </c>
      <c r="E191" s="124">
        <v>0</v>
      </c>
      <c r="F191" s="124">
        <v>0</v>
      </c>
      <c r="G191" s="124">
        <v>0</v>
      </c>
      <c r="H191" s="124">
        <v>0</v>
      </c>
      <c r="I191" s="124">
        <v>0</v>
      </c>
      <c r="J191" s="124">
        <v>0</v>
      </c>
      <c r="K191" s="124">
        <v>0</v>
      </c>
      <c r="L191" s="124">
        <v>0</v>
      </c>
      <c r="M191" s="124">
        <v>0</v>
      </c>
      <c r="N191" s="124">
        <v>0</v>
      </c>
      <c r="O191" s="124">
        <v>0</v>
      </c>
      <c r="P191" s="124">
        <v>0</v>
      </c>
      <c r="Q191" s="41">
        <f t="shared" si="9"/>
        <v>0</v>
      </c>
      <c r="R191" s="124">
        <v>0</v>
      </c>
      <c r="S191" s="124">
        <v>0</v>
      </c>
      <c r="T191" s="124">
        <v>0</v>
      </c>
      <c r="U191" s="124">
        <v>0</v>
      </c>
      <c r="V191" s="124">
        <v>0</v>
      </c>
      <c r="W191" s="41">
        <f t="shared" si="10"/>
        <v>0</v>
      </c>
      <c r="X191" s="124">
        <v>0</v>
      </c>
      <c r="Y191" s="41">
        <f t="shared" si="12"/>
        <v>0</v>
      </c>
      <c r="Z191" s="124">
        <v>0</v>
      </c>
      <c r="AA191" s="124">
        <v>0</v>
      </c>
      <c r="AB191" s="124">
        <v>0</v>
      </c>
      <c r="AC191" s="41">
        <f t="shared" si="11"/>
        <v>0</v>
      </c>
      <c r="AD191" s="124">
        <v>0</v>
      </c>
      <c r="AE191" s="124">
        <v>0</v>
      </c>
      <c r="AF191" s="124">
        <v>0</v>
      </c>
      <c r="AG191" s="124">
        <v>0</v>
      </c>
    </row>
    <row r="192" spans="2:33" ht="14.25" customHeight="1">
      <c r="B192" s="25" t="s">
        <v>372</v>
      </c>
      <c r="C192" s="26" t="s">
        <v>373</v>
      </c>
      <c r="D192" s="124">
        <v>0</v>
      </c>
      <c r="E192" s="124">
        <v>0</v>
      </c>
      <c r="F192" s="124">
        <v>0</v>
      </c>
      <c r="G192" s="124">
        <v>0</v>
      </c>
      <c r="H192" s="124">
        <v>0</v>
      </c>
      <c r="I192" s="124">
        <v>0</v>
      </c>
      <c r="J192" s="124">
        <v>0</v>
      </c>
      <c r="K192" s="124">
        <v>0</v>
      </c>
      <c r="L192" s="124">
        <v>0</v>
      </c>
      <c r="M192" s="124">
        <v>0</v>
      </c>
      <c r="N192" s="124">
        <v>0</v>
      </c>
      <c r="O192" s="124">
        <v>0</v>
      </c>
      <c r="P192" s="124">
        <v>0</v>
      </c>
      <c r="Q192" s="41">
        <f t="shared" si="9"/>
        <v>0</v>
      </c>
      <c r="R192" s="124">
        <v>0</v>
      </c>
      <c r="S192" s="124">
        <v>0</v>
      </c>
      <c r="T192" s="124">
        <v>0</v>
      </c>
      <c r="U192" s="124">
        <v>0</v>
      </c>
      <c r="V192" s="124">
        <v>0</v>
      </c>
      <c r="W192" s="41">
        <f t="shared" si="10"/>
        <v>0</v>
      </c>
      <c r="X192" s="124">
        <v>0</v>
      </c>
      <c r="Y192" s="41">
        <f t="shared" si="12"/>
        <v>0</v>
      </c>
      <c r="Z192" s="124">
        <v>0</v>
      </c>
      <c r="AA192" s="124">
        <v>0</v>
      </c>
      <c r="AB192" s="124">
        <v>0</v>
      </c>
      <c r="AC192" s="41">
        <f t="shared" si="11"/>
        <v>0</v>
      </c>
      <c r="AD192" s="124">
        <v>0</v>
      </c>
      <c r="AE192" s="124">
        <v>0</v>
      </c>
      <c r="AF192" s="124">
        <v>0</v>
      </c>
      <c r="AG192" s="124">
        <v>0</v>
      </c>
    </row>
    <row r="193" spans="2:33" ht="14.25" customHeight="1">
      <c r="B193" s="25" t="s">
        <v>374</v>
      </c>
      <c r="C193" s="26" t="s">
        <v>375</v>
      </c>
      <c r="D193" s="124">
        <v>0</v>
      </c>
      <c r="E193" s="124">
        <v>0</v>
      </c>
      <c r="F193" s="124">
        <v>0</v>
      </c>
      <c r="G193" s="124">
        <v>0</v>
      </c>
      <c r="H193" s="124">
        <v>0</v>
      </c>
      <c r="I193" s="124">
        <v>0</v>
      </c>
      <c r="J193" s="124">
        <v>0</v>
      </c>
      <c r="K193" s="124">
        <v>0</v>
      </c>
      <c r="L193" s="124">
        <v>0</v>
      </c>
      <c r="M193" s="124">
        <v>0</v>
      </c>
      <c r="N193" s="124">
        <v>0</v>
      </c>
      <c r="O193" s="124">
        <v>0</v>
      </c>
      <c r="P193" s="124">
        <v>4886.1</v>
      </c>
      <c r="Q193" s="41">
        <f t="shared" si="9"/>
        <v>0</v>
      </c>
      <c r="R193" s="124">
        <v>0</v>
      </c>
      <c r="S193" s="124">
        <v>0</v>
      </c>
      <c r="T193" s="124">
        <v>4886.1</v>
      </c>
      <c r="U193" s="124">
        <v>0</v>
      </c>
      <c r="V193" s="124">
        <v>0</v>
      </c>
      <c r="W193" s="41">
        <f t="shared" si="10"/>
        <v>0</v>
      </c>
      <c r="X193" s="124">
        <v>4887</v>
      </c>
      <c r="Y193" s="41">
        <f t="shared" si="12"/>
        <v>4887</v>
      </c>
      <c r="Z193" s="124">
        <v>0</v>
      </c>
      <c r="AA193" s="124">
        <v>6000</v>
      </c>
      <c r="AB193" s="124">
        <v>4887</v>
      </c>
      <c r="AC193" s="41">
        <f t="shared" si="11"/>
        <v>4887</v>
      </c>
      <c r="AD193" s="124">
        <v>0</v>
      </c>
      <c r="AE193" s="124">
        <v>0</v>
      </c>
      <c r="AF193" s="124">
        <v>0</v>
      </c>
      <c r="AG193" s="124">
        <v>0</v>
      </c>
    </row>
    <row r="194" spans="2:33" ht="14.25" customHeight="1">
      <c r="B194" s="27" t="s">
        <v>376</v>
      </c>
      <c r="C194" s="28" t="s">
        <v>377</v>
      </c>
      <c r="D194" s="124">
        <v>0</v>
      </c>
      <c r="E194" s="124">
        <v>0</v>
      </c>
      <c r="F194" s="124">
        <v>0</v>
      </c>
      <c r="G194" s="124">
        <v>0</v>
      </c>
      <c r="H194" s="124">
        <v>0</v>
      </c>
      <c r="I194" s="124">
        <v>0</v>
      </c>
      <c r="J194" s="124">
        <v>0</v>
      </c>
      <c r="K194" s="124">
        <v>0</v>
      </c>
      <c r="L194" s="124">
        <v>0</v>
      </c>
      <c r="M194" s="124">
        <v>0</v>
      </c>
      <c r="N194" s="124">
        <v>0</v>
      </c>
      <c r="O194" s="124">
        <v>0</v>
      </c>
      <c r="P194" s="124">
        <v>4886.1</v>
      </c>
      <c r="Q194" s="41">
        <f t="shared" si="9"/>
        <v>0</v>
      </c>
      <c r="R194" s="124">
        <v>0</v>
      </c>
      <c r="S194" s="124">
        <v>0</v>
      </c>
      <c r="T194" s="124">
        <v>4886.1</v>
      </c>
      <c r="U194" s="124">
        <v>0</v>
      </c>
      <c r="V194" s="124">
        <v>0</v>
      </c>
      <c r="W194" s="41">
        <f t="shared" si="10"/>
        <v>0</v>
      </c>
      <c r="X194" s="124">
        <v>4887</v>
      </c>
      <c r="Y194" s="41">
        <f t="shared" si="12"/>
        <v>4887</v>
      </c>
      <c r="Z194" s="124">
        <v>0</v>
      </c>
      <c r="AA194" s="124">
        <v>6000</v>
      </c>
      <c r="AB194" s="124">
        <v>4887</v>
      </c>
      <c r="AC194" s="41">
        <f t="shared" si="11"/>
        <v>4887</v>
      </c>
      <c r="AD194" s="124">
        <v>0</v>
      </c>
      <c r="AE194" s="124">
        <v>0</v>
      </c>
      <c r="AF194" s="124">
        <v>0</v>
      </c>
      <c r="AG194" s="124">
        <v>0</v>
      </c>
    </row>
    <row r="195" spans="2:33" ht="14.25" customHeight="1">
      <c r="B195" s="25" t="s">
        <v>378</v>
      </c>
      <c r="C195" s="26" t="s">
        <v>379</v>
      </c>
      <c r="D195" s="124">
        <v>0</v>
      </c>
      <c r="E195" s="124">
        <v>0</v>
      </c>
      <c r="F195" s="124">
        <v>0</v>
      </c>
      <c r="G195" s="124">
        <v>0</v>
      </c>
      <c r="H195" s="124">
        <v>0</v>
      </c>
      <c r="I195" s="124">
        <v>0</v>
      </c>
      <c r="J195" s="124">
        <v>0</v>
      </c>
      <c r="K195" s="124">
        <v>0</v>
      </c>
      <c r="L195" s="124">
        <v>0</v>
      </c>
      <c r="M195" s="124">
        <v>0</v>
      </c>
      <c r="N195" s="124">
        <v>0</v>
      </c>
      <c r="O195" s="124">
        <v>0</v>
      </c>
      <c r="P195" s="124">
        <v>0</v>
      </c>
      <c r="Q195" s="41">
        <f t="shared" si="9"/>
        <v>0</v>
      </c>
      <c r="R195" s="124">
        <v>0</v>
      </c>
      <c r="S195" s="124">
        <v>0</v>
      </c>
      <c r="T195" s="124">
        <v>0</v>
      </c>
      <c r="U195" s="124">
        <v>0</v>
      </c>
      <c r="V195" s="124">
        <v>0</v>
      </c>
      <c r="W195" s="41">
        <f t="shared" si="10"/>
        <v>0</v>
      </c>
      <c r="X195" s="124">
        <v>0</v>
      </c>
      <c r="Y195" s="41">
        <f t="shared" si="12"/>
        <v>0</v>
      </c>
      <c r="Z195" s="124">
        <v>0</v>
      </c>
      <c r="AA195" s="124">
        <v>0</v>
      </c>
      <c r="AB195" s="124">
        <v>0</v>
      </c>
      <c r="AC195" s="41">
        <f t="shared" si="11"/>
        <v>0</v>
      </c>
      <c r="AD195" s="124">
        <v>0</v>
      </c>
      <c r="AE195" s="124">
        <v>0</v>
      </c>
      <c r="AF195" s="124">
        <v>0</v>
      </c>
      <c r="AG195" s="124">
        <v>0</v>
      </c>
    </row>
    <row r="196" spans="2:33" ht="14.25" customHeight="1">
      <c r="B196" s="25" t="s">
        <v>380</v>
      </c>
      <c r="C196" s="26" t="s">
        <v>381</v>
      </c>
      <c r="D196" s="124">
        <v>94893.53</v>
      </c>
      <c r="E196" s="124">
        <v>0</v>
      </c>
      <c r="F196" s="124">
        <v>89637.72</v>
      </c>
      <c r="G196" s="124">
        <v>0</v>
      </c>
      <c r="H196" s="124">
        <v>92637.72</v>
      </c>
      <c r="I196" s="124">
        <v>0</v>
      </c>
      <c r="J196" s="124">
        <v>323880.94</v>
      </c>
      <c r="K196" s="124">
        <v>228987.41</v>
      </c>
      <c r="L196" s="124">
        <v>49009.32</v>
      </c>
      <c r="M196" s="124">
        <v>411.57</v>
      </c>
      <c r="N196" s="124">
        <v>52547.83</v>
      </c>
      <c r="O196" s="124">
        <v>224.13</v>
      </c>
      <c r="P196" s="124">
        <v>262382.18</v>
      </c>
      <c r="Q196" s="41">
        <f t="shared" si="9"/>
        <v>179.42</v>
      </c>
      <c r="R196" s="124">
        <v>91754.89</v>
      </c>
      <c r="S196" s="124">
        <v>46547.84</v>
      </c>
      <c r="T196" s="124">
        <v>45546.04</v>
      </c>
      <c r="U196" s="124">
        <v>48896.85</v>
      </c>
      <c r="V196" s="124">
        <v>6151.28</v>
      </c>
      <c r="W196" s="41">
        <f t="shared" si="10"/>
        <v>12151.27</v>
      </c>
      <c r="X196" s="124">
        <v>342267.81</v>
      </c>
      <c r="Y196" s="41">
        <f t="shared" si="12"/>
        <v>342088.39</v>
      </c>
      <c r="Z196" s="124">
        <v>101600.9</v>
      </c>
      <c r="AA196" s="124">
        <v>69339.4</v>
      </c>
      <c r="AB196" s="124">
        <v>354419.08</v>
      </c>
      <c r="AC196" s="41">
        <f t="shared" si="11"/>
        <v>354419.08</v>
      </c>
      <c r="AD196" s="124">
        <v>179.42</v>
      </c>
      <c r="AE196" s="124">
        <v>179.42</v>
      </c>
      <c r="AF196" s="124">
        <v>12151.27</v>
      </c>
      <c r="AG196" s="124">
        <v>12151.27</v>
      </c>
    </row>
    <row r="197" spans="2:33" ht="14.25" customHeight="1">
      <c r="B197" s="25" t="s">
        <v>382</v>
      </c>
      <c r="C197" s="26" t="s">
        <v>383</v>
      </c>
      <c r="D197" s="124">
        <v>0</v>
      </c>
      <c r="E197" s="124">
        <v>0</v>
      </c>
      <c r="F197" s="124">
        <v>0</v>
      </c>
      <c r="G197" s="124">
        <v>0</v>
      </c>
      <c r="H197" s="124">
        <v>0</v>
      </c>
      <c r="I197" s="124">
        <v>0</v>
      </c>
      <c r="J197" s="124">
        <v>0</v>
      </c>
      <c r="K197" s="124">
        <v>0</v>
      </c>
      <c r="L197" s="124">
        <v>0</v>
      </c>
      <c r="M197" s="124">
        <v>0</v>
      </c>
      <c r="N197" s="124">
        <v>0</v>
      </c>
      <c r="O197" s="124">
        <v>0</v>
      </c>
      <c r="P197" s="124">
        <v>0</v>
      </c>
      <c r="Q197" s="41">
        <f t="shared" si="9"/>
        <v>0</v>
      </c>
      <c r="R197" s="124">
        <v>0</v>
      </c>
      <c r="S197" s="124">
        <v>0</v>
      </c>
      <c r="T197" s="124">
        <v>0</v>
      </c>
      <c r="U197" s="124">
        <v>0</v>
      </c>
      <c r="V197" s="124">
        <v>0</v>
      </c>
      <c r="W197" s="41">
        <f t="shared" si="10"/>
        <v>0</v>
      </c>
      <c r="X197" s="124">
        <v>0</v>
      </c>
      <c r="Y197" s="41">
        <f t="shared" si="12"/>
        <v>0</v>
      </c>
      <c r="Z197" s="124">
        <v>0</v>
      </c>
      <c r="AA197" s="124">
        <v>0</v>
      </c>
      <c r="AB197" s="124">
        <v>0</v>
      </c>
      <c r="AC197" s="41">
        <f t="shared" si="11"/>
        <v>0</v>
      </c>
      <c r="AD197" s="124">
        <v>0</v>
      </c>
      <c r="AE197" s="124">
        <v>0</v>
      </c>
      <c r="AF197" s="124">
        <v>0</v>
      </c>
      <c r="AG197" s="124">
        <v>0</v>
      </c>
    </row>
    <row r="198" spans="2:33" ht="14.25" customHeight="1">
      <c r="B198" s="25" t="s">
        <v>384</v>
      </c>
      <c r="C198" s="26" t="s">
        <v>385</v>
      </c>
      <c r="D198" s="124">
        <v>0</v>
      </c>
      <c r="E198" s="124">
        <v>0</v>
      </c>
      <c r="F198" s="124">
        <v>0</v>
      </c>
      <c r="G198" s="124">
        <v>0</v>
      </c>
      <c r="H198" s="124">
        <v>0</v>
      </c>
      <c r="I198" s="124">
        <v>0</v>
      </c>
      <c r="J198" s="124">
        <v>0</v>
      </c>
      <c r="K198" s="124">
        <v>0</v>
      </c>
      <c r="L198" s="124">
        <v>0</v>
      </c>
      <c r="M198" s="124">
        <v>0</v>
      </c>
      <c r="N198" s="124">
        <v>0</v>
      </c>
      <c r="O198" s="124">
        <v>0</v>
      </c>
      <c r="P198" s="124">
        <v>0</v>
      </c>
      <c r="Q198" s="41">
        <f t="shared" si="9"/>
        <v>0</v>
      </c>
      <c r="R198" s="124">
        <v>0</v>
      </c>
      <c r="S198" s="124">
        <v>0</v>
      </c>
      <c r="T198" s="124">
        <v>0</v>
      </c>
      <c r="U198" s="124">
        <v>0</v>
      </c>
      <c r="V198" s="124">
        <v>0</v>
      </c>
      <c r="W198" s="41">
        <f t="shared" si="10"/>
        <v>0</v>
      </c>
      <c r="X198" s="124">
        <v>0</v>
      </c>
      <c r="Y198" s="41">
        <f t="shared" si="12"/>
        <v>0</v>
      </c>
      <c r="Z198" s="124">
        <v>0</v>
      </c>
      <c r="AA198" s="124">
        <v>0</v>
      </c>
      <c r="AB198" s="124">
        <v>0</v>
      </c>
      <c r="AC198" s="41">
        <f t="shared" si="11"/>
        <v>0</v>
      </c>
      <c r="AD198" s="124">
        <v>0</v>
      </c>
      <c r="AE198" s="124">
        <v>0</v>
      </c>
      <c r="AF198" s="124">
        <v>0</v>
      </c>
      <c r="AG198" s="124">
        <v>0</v>
      </c>
    </row>
    <row r="199" spans="2:33" ht="14.25" customHeight="1">
      <c r="B199" s="27" t="s">
        <v>386</v>
      </c>
      <c r="C199" s="28" t="s">
        <v>387</v>
      </c>
      <c r="D199" s="124">
        <v>94893.53</v>
      </c>
      <c r="E199" s="124">
        <v>0</v>
      </c>
      <c r="F199" s="124">
        <v>89637.72</v>
      </c>
      <c r="G199" s="124">
        <v>0</v>
      </c>
      <c r="H199" s="124">
        <v>92637.72</v>
      </c>
      <c r="I199" s="124">
        <v>0</v>
      </c>
      <c r="J199" s="124">
        <v>323880.94</v>
      </c>
      <c r="K199" s="124">
        <v>228987.41</v>
      </c>
      <c r="L199" s="124">
        <v>49009.32</v>
      </c>
      <c r="M199" s="124">
        <v>411.57</v>
      </c>
      <c r="N199" s="124">
        <v>52547.83</v>
      </c>
      <c r="O199" s="124">
        <v>224.13</v>
      </c>
      <c r="P199" s="124">
        <v>262382.18</v>
      </c>
      <c r="Q199" s="41">
        <f t="shared" si="9"/>
        <v>179.42</v>
      </c>
      <c r="R199" s="124">
        <v>91754.89</v>
      </c>
      <c r="S199" s="124">
        <v>46547.84</v>
      </c>
      <c r="T199" s="124">
        <v>45546.04</v>
      </c>
      <c r="U199" s="124">
        <v>48896.85</v>
      </c>
      <c r="V199" s="124">
        <v>6151.28</v>
      </c>
      <c r="W199" s="41">
        <f t="shared" si="10"/>
        <v>12151.27</v>
      </c>
      <c r="X199" s="124">
        <v>342267.81</v>
      </c>
      <c r="Y199" s="41">
        <f t="shared" si="12"/>
        <v>342088.39</v>
      </c>
      <c r="Z199" s="124">
        <v>101600.9</v>
      </c>
      <c r="AA199" s="124">
        <v>69339.4</v>
      </c>
      <c r="AB199" s="124">
        <v>354419.08</v>
      </c>
      <c r="AC199" s="41">
        <f t="shared" si="11"/>
        <v>354419.08</v>
      </c>
      <c r="AD199" s="124">
        <v>179.42</v>
      </c>
      <c r="AE199" s="124">
        <v>179.42</v>
      </c>
      <c r="AF199" s="124">
        <v>12151.27</v>
      </c>
      <c r="AG199" s="124">
        <v>12151.27</v>
      </c>
    </row>
    <row r="200" spans="2:33" ht="14.25" customHeight="1">
      <c r="B200" s="25" t="s">
        <v>388</v>
      </c>
      <c r="C200" s="26" t="s">
        <v>389</v>
      </c>
      <c r="D200" s="124">
        <v>0</v>
      </c>
      <c r="E200" s="124">
        <v>0</v>
      </c>
      <c r="F200" s="124">
        <v>0</v>
      </c>
      <c r="G200" s="124">
        <v>0</v>
      </c>
      <c r="H200" s="124">
        <v>0</v>
      </c>
      <c r="I200" s="124">
        <v>0</v>
      </c>
      <c r="J200" s="124">
        <v>0</v>
      </c>
      <c r="K200" s="124">
        <v>0</v>
      </c>
      <c r="L200" s="124">
        <v>0</v>
      </c>
      <c r="M200" s="124">
        <v>0</v>
      </c>
      <c r="N200" s="124">
        <v>0</v>
      </c>
      <c r="O200" s="124">
        <v>0</v>
      </c>
      <c r="P200" s="124">
        <v>0</v>
      </c>
      <c r="Q200" s="41">
        <f t="shared" si="9"/>
        <v>0</v>
      </c>
      <c r="R200" s="124">
        <v>0</v>
      </c>
      <c r="S200" s="124">
        <v>0</v>
      </c>
      <c r="T200" s="124">
        <v>0</v>
      </c>
      <c r="U200" s="124">
        <v>0</v>
      </c>
      <c r="V200" s="124">
        <v>0</v>
      </c>
      <c r="W200" s="41">
        <f t="shared" si="10"/>
        <v>0</v>
      </c>
      <c r="X200" s="124">
        <v>0</v>
      </c>
      <c r="Y200" s="41">
        <f t="shared" si="12"/>
        <v>0</v>
      </c>
      <c r="Z200" s="124">
        <v>0</v>
      </c>
      <c r="AA200" s="124">
        <v>0</v>
      </c>
      <c r="AB200" s="124">
        <v>0</v>
      </c>
      <c r="AC200" s="41">
        <f t="shared" si="11"/>
        <v>0</v>
      </c>
      <c r="AD200" s="124">
        <v>0</v>
      </c>
      <c r="AE200" s="124">
        <v>0</v>
      </c>
      <c r="AF200" s="124">
        <v>0</v>
      </c>
      <c r="AG200" s="124">
        <v>0</v>
      </c>
    </row>
    <row r="201" spans="2:33" ht="14.25" customHeight="1">
      <c r="B201" s="25" t="s">
        <v>390</v>
      </c>
      <c r="C201" s="26" t="s">
        <v>391</v>
      </c>
      <c r="D201" s="124">
        <v>0</v>
      </c>
      <c r="E201" s="124">
        <v>0</v>
      </c>
      <c r="F201" s="124">
        <v>0</v>
      </c>
      <c r="G201" s="124">
        <v>0</v>
      </c>
      <c r="H201" s="124">
        <v>0</v>
      </c>
      <c r="I201" s="124">
        <v>0</v>
      </c>
      <c r="J201" s="124">
        <v>0</v>
      </c>
      <c r="K201" s="124">
        <v>0</v>
      </c>
      <c r="L201" s="124">
        <v>0</v>
      </c>
      <c r="M201" s="124">
        <v>0</v>
      </c>
      <c r="N201" s="124">
        <v>0</v>
      </c>
      <c r="O201" s="124">
        <v>0</v>
      </c>
      <c r="P201" s="124">
        <v>0</v>
      </c>
      <c r="Q201" s="41">
        <f t="shared" si="9"/>
        <v>0</v>
      </c>
      <c r="R201" s="124">
        <v>0</v>
      </c>
      <c r="S201" s="124">
        <v>0</v>
      </c>
      <c r="T201" s="124">
        <v>0</v>
      </c>
      <c r="U201" s="124">
        <v>0</v>
      </c>
      <c r="V201" s="124">
        <v>0</v>
      </c>
      <c r="W201" s="41">
        <f t="shared" si="10"/>
        <v>0</v>
      </c>
      <c r="X201" s="124">
        <v>0</v>
      </c>
      <c r="Y201" s="41">
        <f t="shared" si="12"/>
        <v>0</v>
      </c>
      <c r="Z201" s="124">
        <v>0</v>
      </c>
      <c r="AA201" s="124">
        <v>0</v>
      </c>
      <c r="AB201" s="124">
        <v>0</v>
      </c>
      <c r="AC201" s="41">
        <f t="shared" si="11"/>
        <v>0</v>
      </c>
      <c r="AD201" s="124">
        <v>0</v>
      </c>
      <c r="AE201" s="124">
        <v>0</v>
      </c>
      <c r="AF201" s="124">
        <v>0</v>
      </c>
      <c r="AG201" s="124">
        <v>0</v>
      </c>
    </row>
    <row r="202" spans="2:33" ht="14.25" customHeight="1">
      <c r="B202" s="25" t="s">
        <v>392</v>
      </c>
      <c r="C202" s="26" t="s">
        <v>393</v>
      </c>
      <c r="D202" s="124">
        <v>43545</v>
      </c>
      <c r="E202" s="124">
        <v>0</v>
      </c>
      <c r="F202" s="124">
        <v>18120</v>
      </c>
      <c r="G202" s="124">
        <v>0</v>
      </c>
      <c r="H202" s="124">
        <v>15690</v>
      </c>
      <c r="I202" s="124">
        <v>0</v>
      </c>
      <c r="J202" s="124">
        <v>67944.08</v>
      </c>
      <c r="K202" s="124">
        <v>24399.08</v>
      </c>
      <c r="L202" s="124">
        <v>3896.14</v>
      </c>
      <c r="M202" s="124">
        <v>0</v>
      </c>
      <c r="N202" s="124">
        <v>9411.71</v>
      </c>
      <c r="O202" s="124">
        <v>0</v>
      </c>
      <c r="P202" s="124">
        <v>54592.4</v>
      </c>
      <c r="Q202" s="41">
        <f t="shared" si="9"/>
        <v>38845</v>
      </c>
      <c r="R202" s="124">
        <v>3819.7</v>
      </c>
      <c r="S202" s="124">
        <v>3002.56</v>
      </c>
      <c r="T202" s="124">
        <v>38902.47</v>
      </c>
      <c r="U202" s="124">
        <v>2223.56</v>
      </c>
      <c r="V202" s="124">
        <v>2300</v>
      </c>
      <c r="W202" s="41">
        <f t="shared" si="10"/>
        <v>8709.15</v>
      </c>
      <c r="X202" s="124">
        <v>108083.2</v>
      </c>
      <c r="Y202" s="41">
        <f t="shared" si="12"/>
        <v>69238.2</v>
      </c>
      <c r="Z202" s="124">
        <v>6523.56</v>
      </c>
      <c r="AA202" s="124">
        <v>13150.84</v>
      </c>
      <c r="AB202" s="124">
        <v>116792.35</v>
      </c>
      <c r="AC202" s="41">
        <f t="shared" si="11"/>
        <v>116792.35</v>
      </c>
      <c r="AD202" s="124">
        <v>38845</v>
      </c>
      <c r="AE202" s="124">
        <v>29855.2</v>
      </c>
      <c r="AF202" s="124">
        <v>8709.15</v>
      </c>
      <c r="AG202" s="124">
        <v>8709.15</v>
      </c>
    </row>
    <row r="203" spans="2:33" ht="14.25" customHeight="1">
      <c r="B203" s="27" t="s">
        <v>394</v>
      </c>
      <c r="C203" s="28" t="s">
        <v>395</v>
      </c>
      <c r="D203" s="124">
        <v>43545</v>
      </c>
      <c r="E203" s="124">
        <v>0</v>
      </c>
      <c r="F203" s="124">
        <v>18120</v>
      </c>
      <c r="G203" s="124">
        <v>0</v>
      </c>
      <c r="H203" s="124">
        <v>15690</v>
      </c>
      <c r="I203" s="124">
        <v>0</v>
      </c>
      <c r="J203" s="124">
        <v>67944.08</v>
      </c>
      <c r="K203" s="124">
        <v>24399.08</v>
      </c>
      <c r="L203" s="124">
        <v>3896.14</v>
      </c>
      <c r="M203" s="124">
        <v>0</v>
      </c>
      <c r="N203" s="124">
        <v>9411.71</v>
      </c>
      <c r="O203" s="124">
        <v>0</v>
      </c>
      <c r="P203" s="124">
        <v>54592.4</v>
      </c>
      <c r="Q203" s="41">
        <f t="shared" si="9"/>
        <v>38845</v>
      </c>
      <c r="R203" s="124">
        <v>3819.7</v>
      </c>
      <c r="S203" s="124">
        <v>3002.56</v>
      </c>
      <c r="T203" s="124">
        <v>38902.47</v>
      </c>
      <c r="U203" s="124">
        <v>2223.56</v>
      </c>
      <c r="V203" s="124">
        <v>2300</v>
      </c>
      <c r="W203" s="41">
        <f t="shared" si="10"/>
        <v>8709.15</v>
      </c>
      <c r="X203" s="124">
        <v>108083.2</v>
      </c>
      <c r="Y203" s="41">
        <f t="shared" si="12"/>
        <v>69238.2</v>
      </c>
      <c r="Z203" s="124">
        <v>6523.56</v>
      </c>
      <c r="AA203" s="124">
        <v>13150.84</v>
      </c>
      <c r="AB203" s="124">
        <v>116792.35</v>
      </c>
      <c r="AC203" s="41">
        <f t="shared" si="11"/>
        <v>116792.35</v>
      </c>
      <c r="AD203" s="124">
        <v>38845</v>
      </c>
      <c r="AE203" s="124">
        <v>29855.2</v>
      </c>
      <c r="AF203" s="124">
        <v>8709.15</v>
      </c>
      <c r="AG203" s="124">
        <v>8709.15</v>
      </c>
    </row>
    <row r="204" spans="2:33" ht="14.25" customHeight="1">
      <c r="B204" s="25" t="s">
        <v>396</v>
      </c>
      <c r="C204" s="26" t="s">
        <v>397</v>
      </c>
      <c r="D204" s="124">
        <v>0</v>
      </c>
      <c r="E204" s="124">
        <v>0</v>
      </c>
      <c r="F204" s="124">
        <v>0</v>
      </c>
      <c r="G204" s="124">
        <v>0</v>
      </c>
      <c r="H204" s="124">
        <v>0</v>
      </c>
      <c r="I204" s="124">
        <v>0</v>
      </c>
      <c r="J204" s="124">
        <v>0</v>
      </c>
      <c r="K204" s="124">
        <v>0</v>
      </c>
      <c r="L204" s="124">
        <v>0</v>
      </c>
      <c r="M204" s="124">
        <v>0</v>
      </c>
      <c r="N204" s="124">
        <v>0</v>
      </c>
      <c r="O204" s="124">
        <v>0</v>
      </c>
      <c r="P204" s="124">
        <v>0</v>
      </c>
      <c r="Q204" s="41">
        <f t="shared" si="9"/>
        <v>0</v>
      </c>
      <c r="R204" s="124">
        <v>0</v>
      </c>
      <c r="S204" s="124">
        <v>0</v>
      </c>
      <c r="T204" s="124">
        <v>0</v>
      </c>
      <c r="U204" s="124">
        <v>0</v>
      </c>
      <c r="V204" s="124">
        <v>0</v>
      </c>
      <c r="W204" s="41">
        <f t="shared" si="10"/>
        <v>0</v>
      </c>
      <c r="X204" s="124">
        <v>0</v>
      </c>
      <c r="Y204" s="41">
        <f t="shared" si="12"/>
        <v>0</v>
      </c>
      <c r="Z204" s="124">
        <v>0</v>
      </c>
      <c r="AA204" s="124">
        <v>0</v>
      </c>
      <c r="AB204" s="124">
        <v>0</v>
      </c>
      <c r="AC204" s="41">
        <f t="shared" si="11"/>
        <v>0</v>
      </c>
      <c r="AD204" s="124">
        <v>0</v>
      </c>
      <c r="AE204" s="124">
        <v>0</v>
      </c>
      <c r="AF204" s="124">
        <v>0</v>
      </c>
      <c r="AG204" s="124">
        <v>0</v>
      </c>
    </row>
    <row r="205" spans="2:33" ht="14.25" customHeight="1">
      <c r="B205" s="25" t="s">
        <v>398</v>
      </c>
      <c r="C205" s="26" t="s">
        <v>399</v>
      </c>
      <c r="D205" s="124">
        <v>0</v>
      </c>
      <c r="E205" s="124">
        <v>0</v>
      </c>
      <c r="F205" s="124">
        <v>0</v>
      </c>
      <c r="G205" s="124">
        <v>0</v>
      </c>
      <c r="H205" s="124">
        <v>0</v>
      </c>
      <c r="I205" s="124">
        <v>0</v>
      </c>
      <c r="J205" s="124">
        <v>0</v>
      </c>
      <c r="K205" s="124">
        <v>0</v>
      </c>
      <c r="L205" s="124">
        <v>0</v>
      </c>
      <c r="M205" s="124">
        <v>0</v>
      </c>
      <c r="N205" s="124">
        <v>0</v>
      </c>
      <c r="O205" s="124">
        <v>0</v>
      </c>
      <c r="P205" s="124">
        <v>0</v>
      </c>
      <c r="Q205" s="41">
        <f t="shared" si="9"/>
        <v>0</v>
      </c>
      <c r="R205" s="124">
        <v>0</v>
      </c>
      <c r="S205" s="124">
        <v>0</v>
      </c>
      <c r="T205" s="124">
        <v>0</v>
      </c>
      <c r="U205" s="124">
        <v>0</v>
      </c>
      <c r="V205" s="124">
        <v>0</v>
      </c>
      <c r="W205" s="41">
        <f t="shared" si="10"/>
        <v>0</v>
      </c>
      <c r="X205" s="124">
        <v>0</v>
      </c>
      <c r="Y205" s="41">
        <f t="shared" si="12"/>
        <v>0</v>
      </c>
      <c r="Z205" s="124">
        <v>0</v>
      </c>
      <c r="AA205" s="124">
        <v>0</v>
      </c>
      <c r="AB205" s="124">
        <v>0</v>
      </c>
      <c r="AC205" s="41">
        <f t="shared" si="11"/>
        <v>0</v>
      </c>
      <c r="AD205" s="124">
        <v>0</v>
      </c>
      <c r="AE205" s="124">
        <v>0</v>
      </c>
      <c r="AF205" s="124">
        <v>0</v>
      </c>
      <c r="AG205" s="124">
        <v>0</v>
      </c>
    </row>
    <row r="206" spans="2:33" ht="14.25" customHeight="1">
      <c r="B206" s="27" t="s">
        <v>400</v>
      </c>
      <c r="C206" s="28" t="s">
        <v>401</v>
      </c>
      <c r="D206" s="124">
        <v>0</v>
      </c>
      <c r="E206" s="124">
        <v>0</v>
      </c>
      <c r="F206" s="124">
        <v>0</v>
      </c>
      <c r="G206" s="124">
        <v>0</v>
      </c>
      <c r="H206" s="124">
        <v>0</v>
      </c>
      <c r="I206" s="124">
        <v>0</v>
      </c>
      <c r="J206" s="124">
        <v>0</v>
      </c>
      <c r="K206" s="124">
        <v>0</v>
      </c>
      <c r="L206" s="124">
        <v>0</v>
      </c>
      <c r="M206" s="124">
        <v>0</v>
      </c>
      <c r="N206" s="124">
        <v>0</v>
      </c>
      <c r="O206" s="124">
        <v>0</v>
      </c>
      <c r="P206" s="124">
        <v>0</v>
      </c>
      <c r="Q206" s="41">
        <f t="shared" si="9"/>
        <v>0</v>
      </c>
      <c r="R206" s="124">
        <v>0</v>
      </c>
      <c r="S206" s="124">
        <v>0</v>
      </c>
      <c r="T206" s="124">
        <v>0</v>
      </c>
      <c r="U206" s="124">
        <v>0</v>
      </c>
      <c r="V206" s="124">
        <v>0</v>
      </c>
      <c r="W206" s="41">
        <f t="shared" si="10"/>
        <v>0</v>
      </c>
      <c r="X206" s="124">
        <v>0</v>
      </c>
      <c r="Y206" s="41">
        <f t="shared" si="12"/>
        <v>0</v>
      </c>
      <c r="Z206" s="124">
        <v>0</v>
      </c>
      <c r="AA206" s="124">
        <v>0</v>
      </c>
      <c r="AB206" s="124">
        <v>0</v>
      </c>
      <c r="AC206" s="41">
        <f t="shared" si="11"/>
        <v>0</v>
      </c>
      <c r="AD206" s="124">
        <v>0</v>
      </c>
      <c r="AE206" s="124">
        <v>0</v>
      </c>
      <c r="AF206" s="124">
        <v>0</v>
      </c>
      <c r="AG206" s="124">
        <v>0</v>
      </c>
    </row>
    <row r="207" spans="2:33" ht="14.25" customHeight="1">
      <c r="B207" s="25" t="s">
        <v>402</v>
      </c>
      <c r="C207" s="26" t="s">
        <v>403</v>
      </c>
      <c r="D207" s="124">
        <v>64160</v>
      </c>
      <c r="E207" s="124">
        <v>0</v>
      </c>
      <c r="F207" s="124">
        <v>72000</v>
      </c>
      <c r="G207" s="124">
        <v>0</v>
      </c>
      <c r="H207" s="124">
        <v>75660</v>
      </c>
      <c r="I207" s="124">
        <v>0</v>
      </c>
      <c r="J207" s="124">
        <v>85944.6</v>
      </c>
      <c r="K207" s="124">
        <v>21784.6</v>
      </c>
      <c r="L207" s="124">
        <v>22576.35</v>
      </c>
      <c r="M207" s="124">
        <v>0</v>
      </c>
      <c r="N207" s="124">
        <v>44993.02</v>
      </c>
      <c r="O207" s="124">
        <v>0</v>
      </c>
      <c r="P207" s="124">
        <v>46137.25</v>
      </c>
      <c r="Q207" s="41">
        <f t="shared" si="9"/>
        <v>0</v>
      </c>
      <c r="R207" s="124">
        <v>13478.53</v>
      </c>
      <c r="S207" s="124">
        <v>43464.34</v>
      </c>
      <c r="T207" s="124">
        <v>42711.75</v>
      </c>
      <c r="U207" s="124">
        <v>7732.6</v>
      </c>
      <c r="V207" s="124">
        <v>16830.42</v>
      </c>
      <c r="W207" s="41">
        <f t="shared" si="10"/>
        <v>18359.1</v>
      </c>
      <c r="X207" s="124">
        <v>140985.81</v>
      </c>
      <c r="Y207" s="41">
        <f t="shared" si="12"/>
        <v>140985.81</v>
      </c>
      <c r="Z207" s="124">
        <v>52232.6</v>
      </c>
      <c r="AA207" s="124">
        <v>74090.42</v>
      </c>
      <c r="AB207" s="124">
        <v>159344.91</v>
      </c>
      <c r="AC207" s="41">
        <f t="shared" si="11"/>
        <v>159344.91</v>
      </c>
      <c r="AD207" s="124">
        <v>0</v>
      </c>
      <c r="AE207" s="124">
        <v>0</v>
      </c>
      <c r="AF207" s="124">
        <v>18359.1</v>
      </c>
      <c r="AG207" s="124">
        <v>18359.1</v>
      </c>
    </row>
    <row r="208" spans="2:33" ht="14.25" customHeight="1">
      <c r="B208" s="27" t="s">
        <v>404</v>
      </c>
      <c r="C208" s="28" t="s">
        <v>405</v>
      </c>
      <c r="D208" s="124">
        <v>64160</v>
      </c>
      <c r="E208" s="124">
        <v>0</v>
      </c>
      <c r="F208" s="124">
        <v>72000</v>
      </c>
      <c r="G208" s="124">
        <v>0</v>
      </c>
      <c r="H208" s="124">
        <v>75660</v>
      </c>
      <c r="I208" s="124">
        <v>0</v>
      </c>
      <c r="J208" s="124">
        <v>85944.6</v>
      </c>
      <c r="K208" s="124">
        <v>21784.6</v>
      </c>
      <c r="L208" s="124">
        <v>22576.35</v>
      </c>
      <c r="M208" s="124">
        <v>0</v>
      </c>
      <c r="N208" s="124">
        <v>44993.02</v>
      </c>
      <c r="O208" s="124">
        <v>0</v>
      </c>
      <c r="P208" s="124">
        <v>46137.25</v>
      </c>
      <c r="Q208" s="41">
        <f t="shared" si="9"/>
        <v>0</v>
      </c>
      <c r="R208" s="124">
        <v>13478.53</v>
      </c>
      <c r="S208" s="124">
        <v>43464.34</v>
      </c>
      <c r="T208" s="124">
        <v>42711.75</v>
      </c>
      <c r="U208" s="124">
        <v>7732.6</v>
      </c>
      <c r="V208" s="124">
        <v>16830.42</v>
      </c>
      <c r="W208" s="41">
        <f t="shared" si="10"/>
        <v>18359.1</v>
      </c>
      <c r="X208" s="124">
        <v>140985.81</v>
      </c>
      <c r="Y208" s="41">
        <f t="shared" si="12"/>
        <v>140985.81</v>
      </c>
      <c r="Z208" s="124">
        <v>52232.6</v>
      </c>
      <c r="AA208" s="124">
        <v>74090.42</v>
      </c>
      <c r="AB208" s="124">
        <v>159344.91</v>
      </c>
      <c r="AC208" s="41">
        <f t="shared" si="11"/>
        <v>159344.91</v>
      </c>
      <c r="AD208" s="124">
        <v>0</v>
      </c>
      <c r="AE208" s="124">
        <v>0</v>
      </c>
      <c r="AF208" s="124">
        <v>18359.1</v>
      </c>
      <c r="AG208" s="124">
        <v>18359.1</v>
      </c>
    </row>
    <row r="209" spans="2:33" ht="14.25" customHeight="1">
      <c r="B209" s="25" t="s">
        <v>406</v>
      </c>
      <c r="C209" s="26" t="s">
        <v>407</v>
      </c>
      <c r="D209" s="124">
        <v>0</v>
      </c>
      <c r="E209" s="124">
        <v>0</v>
      </c>
      <c r="F209" s="124">
        <v>0</v>
      </c>
      <c r="G209" s="124">
        <v>0</v>
      </c>
      <c r="H209" s="124">
        <v>0</v>
      </c>
      <c r="I209" s="124">
        <v>0</v>
      </c>
      <c r="J209" s="124">
        <v>0</v>
      </c>
      <c r="K209" s="124">
        <v>0</v>
      </c>
      <c r="L209" s="124">
        <v>0</v>
      </c>
      <c r="M209" s="124">
        <v>0</v>
      </c>
      <c r="N209" s="124">
        <v>0</v>
      </c>
      <c r="O209" s="124">
        <v>0</v>
      </c>
      <c r="P209" s="124">
        <v>0</v>
      </c>
      <c r="Q209" s="41">
        <f t="shared" si="9"/>
        <v>0</v>
      </c>
      <c r="R209" s="124">
        <v>0</v>
      </c>
      <c r="S209" s="124">
        <v>0</v>
      </c>
      <c r="T209" s="124">
        <v>0</v>
      </c>
      <c r="U209" s="124">
        <v>0</v>
      </c>
      <c r="V209" s="124">
        <v>0</v>
      </c>
      <c r="W209" s="41">
        <f t="shared" si="10"/>
        <v>0</v>
      </c>
      <c r="X209" s="124">
        <v>0</v>
      </c>
      <c r="Y209" s="41">
        <f t="shared" si="12"/>
        <v>0</v>
      </c>
      <c r="Z209" s="124">
        <v>0</v>
      </c>
      <c r="AA209" s="124">
        <v>0</v>
      </c>
      <c r="AB209" s="124">
        <v>0</v>
      </c>
      <c r="AC209" s="41">
        <f t="shared" si="11"/>
        <v>0</v>
      </c>
      <c r="AD209" s="124">
        <v>0</v>
      </c>
      <c r="AE209" s="124">
        <v>0</v>
      </c>
      <c r="AF209" s="124">
        <v>0</v>
      </c>
      <c r="AG209" s="124">
        <v>0</v>
      </c>
    </row>
    <row r="210" spans="2:33" ht="14.25" customHeight="1">
      <c r="B210" s="27" t="s">
        <v>408</v>
      </c>
      <c r="C210" s="28" t="s">
        <v>409</v>
      </c>
      <c r="D210" s="124">
        <v>0</v>
      </c>
      <c r="E210" s="124">
        <v>0</v>
      </c>
      <c r="F210" s="124">
        <v>0</v>
      </c>
      <c r="G210" s="124">
        <v>0</v>
      </c>
      <c r="H210" s="124">
        <v>0</v>
      </c>
      <c r="I210" s="124">
        <v>0</v>
      </c>
      <c r="J210" s="124">
        <v>0</v>
      </c>
      <c r="K210" s="124">
        <v>0</v>
      </c>
      <c r="L210" s="124">
        <v>0</v>
      </c>
      <c r="M210" s="124">
        <v>0</v>
      </c>
      <c r="N210" s="124">
        <v>0</v>
      </c>
      <c r="O210" s="124">
        <v>0</v>
      </c>
      <c r="P210" s="124">
        <v>0</v>
      </c>
      <c r="Q210" s="41">
        <f t="shared" si="9"/>
        <v>0</v>
      </c>
      <c r="R210" s="124">
        <v>0</v>
      </c>
      <c r="S210" s="124">
        <v>0</v>
      </c>
      <c r="T210" s="124">
        <v>0</v>
      </c>
      <c r="U210" s="124">
        <v>0</v>
      </c>
      <c r="V210" s="124">
        <v>0</v>
      </c>
      <c r="W210" s="41">
        <f t="shared" si="10"/>
        <v>0</v>
      </c>
      <c r="X210" s="124">
        <v>0</v>
      </c>
      <c r="Y210" s="41">
        <f t="shared" si="12"/>
        <v>0</v>
      </c>
      <c r="Z210" s="124">
        <v>0</v>
      </c>
      <c r="AA210" s="124">
        <v>0</v>
      </c>
      <c r="AB210" s="124">
        <v>0</v>
      </c>
      <c r="AC210" s="41">
        <f t="shared" si="11"/>
        <v>0</v>
      </c>
      <c r="AD210" s="124">
        <v>0</v>
      </c>
      <c r="AE210" s="124">
        <v>0</v>
      </c>
      <c r="AF210" s="124">
        <v>0</v>
      </c>
      <c r="AG210" s="124">
        <v>0</v>
      </c>
    </row>
    <row r="211" spans="2:33" ht="14.25" customHeight="1">
      <c r="B211" s="25" t="s">
        <v>410</v>
      </c>
      <c r="C211" s="26" t="s">
        <v>411</v>
      </c>
      <c r="D211" s="124">
        <v>0</v>
      </c>
      <c r="E211" s="124">
        <v>0</v>
      </c>
      <c r="F211" s="124">
        <v>0</v>
      </c>
      <c r="G211" s="124">
        <v>0</v>
      </c>
      <c r="H211" s="124">
        <v>0</v>
      </c>
      <c r="I211" s="124">
        <v>0</v>
      </c>
      <c r="J211" s="124">
        <v>0</v>
      </c>
      <c r="K211" s="124">
        <v>0</v>
      </c>
      <c r="L211" s="124">
        <v>0</v>
      </c>
      <c r="M211" s="124">
        <v>0</v>
      </c>
      <c r="N211" s="124">
        <v>0</v>
      </c>
      <c r="O211" s="124">
        <v>0</v>
      </c>
      <c r="P211" s="124">
        <v>0</v>
      </c>
      <c r="Q211" s="41">
        <f t="shared" si="9"/>
        <v>0</v>
      </c>
      <c r="R211" s="124">
        <v>0</v>
      </c>
      <c r="S211" s="124">
        <v>0</v>
      </c>
      <c r="T211" s="124">
        <v>0</v>
      </c>
      <c r="U211" s="124">
        <v>0</v>
      </c>
      <c r="V211" s="124">
        <v>0</v>
      </c>
      <c r="W211" s="41">
        <f t="shared" si="10"/>
        <v>0</v>
      </c>
      <c r="X211" s="124">
        <v>0</v>
      </c>
      <c r="Y211" s="41">
        <f t="shared" si="12"/>
        <v>0</v>
      </c>
      <c r="Z211" s="124">
        <v>0</v>
      </c>
      <c r="AA211" s="124">
        <v>0</v>
      </c>
      <c r="AB211" s="124">
        <v>0</v>
      </c>
      <c r="AC211" s="41">
        <f t="shared" si="11"/>
        <v>0</v>
      </c>
      <c r="AD211" s="124">
        <v>0</v>
      </c>
      <c r="AE211" s="124">
        <v>0</v>
      </c>
      <c r="AF211" s="124">
        <v>0</v>
      </c>
      <c r="AG211" s="124">
        <v>0</v>
      </c>
    </row>
    <row r="212" spans="2:33" ht="14.25" customHeight="1">
      <c r="B212" s="27" t="s">
        <v>412</v>
      </c>
      <c r="C212" s="28" t="s">
        <v>413</v>
      </c>
      <c r="D212" s="124">
        <v>0</v>
      </c>
      <c r="E212" s="124">
        <v>0</v>
      </c>
      <c r="F212" s="124">
        <v>0</v>
      </c>
      <c r="G212" s="124">
        <v>0</v>
      </c>
      <c r="H212" s="124">
        <v>0</v>
      </c>
      <c r="I212" s="124">
        <v>0</v>
      </c>
      <c r="J212" s="124">
        <v>0</v>
      </c>
      <c r="K212" s="124">
        <v>0</v>
      </c>
      <c r="L212" s="124">
        <v>0</v>
      </c>
      <c r="M212" s="124">
        <v>0</v>
      </c>
      <c r="N212" s="124">
        <v>0</v>
      </c>
      <c r="O212" s="124">
        <v>0</v>
      </c>
      <c r="P212" s="124">
        <v>0</v>
      </c>
      <c r="Q212" s="41">
        <f t="shared" si="9"/>
        <v>0</v>
      </c>
      <c r="R212" s="124">
        <v>0</v>
      </c>
      <c r="S212" s="124">
        <v>0</v>
      </c>
      <c r="T212" s="124">
        <v>0</v>
      </c>
      <c r="U212" s="124">
        <v>0</v>
      </c>
      <c r="V212" s="124">
        <v>0</v>
      </c>
      <c r="W212" s="41">
        <f t="shared" si="10"/>
        <v>0</v>
      </c>
      <c r="X212" s="124">
        <v>0</v>
      </c>
      <c r="Y212" s="41">
        <f t="shared" si="12"/>
        <v>0</v>
      </c>
      <c r="Z212" s="124">
        <v>0</v>
      </c>
      <c r="AA212" s="124">
        <v>0</v>
      </c>
      <c r="AB212" s="124">
        <v>0</v>
      </c>
      <c r="AC212" s="41">
        <f t="shared" si="11"/>
        <v>0</v>
      </c>
      <c r="AD212" s="124">
        <v>0</v>
      </c>
      <c r="AE212" s="124">
        <v>0</v>
      </c>
      <c r="AF212" s="124">
        <v>0</v>
      </c>
      <c r="AG212" s="124">
        <v>0</v>
      </c>
    </row>
    <row r="213" spans="2:33" ht="14.25" customHeight="1">
      <c r="B213" s="25" t="s">
        <v>414</v>
      </c>
      <c r="C213" s="26" t="s">
        <v>415</v>
      </c>
      <c r="D213" s="124">
        <v>31216.82</v>
      </c>
      <c r="E213" s="124">
        <v>0</v>
      </c>
      <c r="F213" s="124">
        <v>28884.91</v>
      </c>
      <c r="G213" s="124">
        <v>0</v>
      </c>
      <c r="H213" s="124">
        <v>25500</v>
      </c>
      <c r="I213" s="124">
        <v>0</v>
      </c>
      <c r="J213" s="124">
        <v>100000</v>
      </c>
      <c r="K213" s="124">
        <v>0</v>
      </c>
      <c r="L213" s="124">
        <v>0</v>
      </c>
      <c r="M213" s="124">
        <v>0</v>
      </c>
      <c r="N213" s="124">
        <v>0</v>
      </c>
      <c r="O213" s="124">
        <v>0</v>
      </c>
      <c r="P213" s="124">
        <v>0</v>
      </c>
      <c r="Q213" s="41">
        <f>(AE213+0)</f>
        <v>0</v>
      </c>
      <c r="R213" s="124">
        <v>0</v>
      </c>
      <c r="S213" s="124">
        <v>0</v>
      </c>
      <c r="T213" s="124">
        <v>0</v>
      </c>
      <c r="U213" s="124">
        <v>0</v>
      </c>
      <c r="V213" s="124">
        <v>0</v>
      </c>
      <c r="W213" s="41">
        <f t="shared" si="10"/>
        <v>0</v>
      </c>
      <c r="X213" s="124">
        <v>18015.09</v>
      </c>
      <c r="Y213" s="41">
        <f>(P213+0)</f>
        <v>0</v>
      </c>
      <c r="Z213" s="124">
        <v>0</v>
      </c>
      <c r="AA213" s="124">
        <v>100000</v>
      </c>
      <c r="AB213" s="124">
        <v>100000</v>
      </c>
      <c r="AC213" s="41">
        <f>(T213+0)</f>
        <v>0</v>
      </c>
      <c r="AD213" s="124">
        <v>0</v>
      </c>
      <c r="AE213" s="124">
        <v>0</v>
      </c>
      <c r="AF213" s="124">
        <v>0</v>
      </c>
      <c r="AG213" s="124">
        <v>0</v>
      </c>
    </row>
    <row r="214" spans="2:33" ht="14.25" customHeight="1">
      <c r="B214" s="25" t="s">
        <v>416</v>
      </c>
      <c r="C214" s="26" t="s">
        <v>417</v>
      </c>
      <c r="D214" s="124">
        <v>331823.39</v>
      </c>
      <c r="E214" s="124">
        <v>0</v>
      </c>
      <c r="F214" s="124">
        <v>354088.72</v>
      </c>
      <c r="G214" s="124">
        <v>0</v>
      </c>
      <c r="H214" s="124">
        <v>365309.66</v>
      </c>
      <c r="I214" s="124">
        <v>0</v>
      </c>
      <c r="J214" s="124">
        <v>0</v>
      </c>
      <c r="K214" s="124">
        <v>0</v>
      </c>
      <c r="L214" s="124">
        <v>0</v>
      </c>
      <c r="M214" s="124">
        <v>0</v>
      </c>
      <c r="N214" s="124">
        <v>0</v>
      </c>
      <c r="O214" s="124">
        <v>0</v>
      </c>
      <c r="P214" s="124">
        <v>0</v>
      </c>
      <c r="Q214" s="41">
        <f>(AE214+0)</f>
        <v>0</v>
      </c>
      <c r="R214" s="124">
        <v>0</v>
      </c>
      <c r="S214" s="124">
        <v>0</v>
      </c>
      <c r="T214" s="124">
        <v>0</v>
      </c>
      <c r="U214" s="124">
        <v>0</v>
      </c>
      <c r="V214" s="124">
        <v>0</v>
      </c>
      <c r="W214" s="41">
        <f t="shared" si="10"/>
        <v>0</v>
      </c>
      <c r="X214" s="124">
        <v>327335.09</v>
      </c>
      <c r="Y214" s="41">
        <f>(P214+0)</f>
        <v>0</v>
      </c>
      <c r="Z214" s="124">
        <v>0</v>
      </c>
      <c r="AA214" s="124">
        <v>0</v>
      </c>
      <c r="AB214" s="124">
        <v>0</v>
      </c>
      <c r="AC214" s="41">
        <f>(T214+0)</f>
        <v>0</v>
      </c>
      <c r="AD214" s="124">
        <v>0</v>
      </c>
      <c r="AE214" s="124">
        <v>0</v>
      </c>
      <c r="AF214" s="124">
        <v>0</v>
      </c>
      <c r="AG214" s="124">
        <v>0</v>
      </c>
    </row>
    <row r="215" spans="2:33" ht="14.25" customHeight="1">
      <c r="B215" s="25" t="s">
        <v>418</v>
      </c>
      <c r="C215" s="26" t="s">
        <v>419</v>
      </c>
      <c r="D215" s="124">
        <v>0</v>
      </c>
      <c r="E215" s="124">
        <v>0</v>
      </c>
      <c r="F215" s="124">
        <v>0</v>
      </c>
      <c r="G215" s="124">
        <v>0</v>
      </c>
      <c r="H215" s="124">
        <v>0</v>
      </c>
      <c r="I215" s="124">
        <v>0</v>
      </c>
      <c r="J215" s="124">
        <v>0</v>
      </c>
      <c r="K215" s="124">
        <v>0</v>
      </c>
      <c r="L215" s="124">
        <v>0</v>
      </c>
      <c r="M215" s="124">
        <v>0</v>
      </c>
      <c r="N215" s="124">
        <v>0</v>
      </c>
      <c r="O215" s="124">
        <v>0</v>
      </c>
      <c r="P215" s="124">
        <v>0</v>
      </c>
      <c r="Q215" s="41">
        <f t="shared" si="9"/>
        <v>0</v>
      </c>
      <c r="R215" s="124">
        <v>0</v>
      </c>
      <c r="S215" s="124">
        <v>0</v>
      </c>
      <c r="T215" s="124">
        <v>0</v>
      </c>
      <c r="U215" s="124">
        <v>0</v>
      </c>
      <c r="V215" s="124">
        <v>0</v>
      </c>
      <c r="W215" s="41">
        <f t="shared" si="10"/>
        <v>0</v>
      </c>
      <c r="X215" s="124">
        <v>0</v>
      </c>
      <c r="Y215" s="41">
        <f t="shared" si="12"/>
        <v>0</v>
      </c>
      <c r="Z215" s="124">
        <v>0</v>
      </c>
      <c r="AA215" s="124">
        <v>0</v>
      </c>
      <c r="AB215" s="124">
        <v>0</v>
      </c>
      <c r="AC215" s="41">
        <f t="shared" si="11"/>
        <v>0</v>
      </c>
      <c r="AD215" s="124">
        <v>0</v>
      </c>
      <c r="AE215" s="124">
        <v>0</v>
      </c>
      <c r="AF215" s="124">
        <v>0</v>
      </c>
      <c r="AG215" s="124">
        <v>0</v>
      </c>
    </row>
    <row r="216" spans="2:33" ht="14.25" customHeight="1">
      <c r="B216" s="27" t="s">
        <v>420</v>
      </c>
      <c r="C216" s="28" t="s">
        <v>421</v>
      </c>
      <c r="D216" s="124">
        <v>363040.21</v>
      </c>
      <c r="E216" s="124">
        <v>0</v>
      </c>
      <c r="F216" s="124">
        <v>382973.63</v>
      </c>
      <c r="G216" s="124">
        <v>0</v>
      </c>
      <c r="H216" s="124">
        <v>390809.66</v>
      </c>
      <c r="I216" s="124">
        <v>0</v>
      </c>
      <c r="J216" s="124">
        <v>100000</v>
      </c>
      <c r="K216" s="124">
        <v>0</v>
      </c>
      <c r="L216" s="124">
        <v>0</v>
      </c>
      <c r="M216" s="124">
        <v>0</v>
      </c>
      <c r="N216" s="124">
        <v>0</v>
      </c>
      <c r="O216" s="124">
        <v>0</v>
      </c>
      <c r="P216" s="124">
        <v>0</v>
      </c>
      <c r="Q216" s="41">
        <f>Q213+Q214+Q215</f>
        <v>0</v>
      </c>
      <c r="R216" s="124">
        <v>0</v>
      </c>
      <c r="S216" s="124">
        <v>0</v>
      </c>
      <c r="T216" s="124">
        <v>0</v>
      </c>
      <c r="U216" s="124">
        <v>0</v>
      </c>
      <c r="V216" s="124">
        <v>0</v>
      </c>
      <c r="W216" s="41">
        <f t="shared" si="10"/>
        <v>0</v>
      </c>
      <c r="X216" s="124">
        <v>345350.18</v>
      </c>
      <c r="Y216" s="41">
        <f>Y213+Y214+Y215</f>
        <v>0</v>
      </c>
      <c r="Z216" s="124">
        <v>0</v>
      </c>
      <c r="AA216" s="124">
        <v>100000</v>
      </c>
      <c r="AB216" s="124">
        <v>100000</v>
      </c>
      <c r="AC216" s="41">
        <f>AC213+AC214+AC215</f>
        <v>0</v>
      </c>
      <c r="AD216" s="124">
        <v>0</v>
      </c>
      <c r="AE216" s="124">
        <v>0</v>
      </c>
      <c r="AF216" s="124">
        <v>0</v>
      </c>
      <c r="AG216" s="124">
        <v>0</v>
      </c>
    </row>
    <row r="217" spans="2:33" ht="14.25" customHeight="1">
      <c r="B217" s="25" t="s">
        <v>422</v>
      </c>
      <c r="C217" s="26" t="s">
        <v>423</v>
      </c>
      <c r="D217" s="124">
        <v>0</v>
      </c>
      <c r="E217" s="124">
        <v>0</v>
      </c>
      <c r="F217" s="124">
        <v>0</v>
      </c>
      <c r="G217" s="124">
        <v>0</v>
      </c>
      <c r="H217" s="124">
        <v>0</v>
      </c>
      <c r="I217" s="124">
        <v>0</v>
      </c>
      <c r="J217" s="124">
        <v>0</v>
      </c>
      <c r="K217" s="124">
        <v>0</v>
      </c>
      <c r="L217" s="124">
        <v>0</v>
      </c>
      <c r="M217" s="124">
        <v>0</v>
      </c>
      <c r="N217" s="124">
        <v>0</v>
      </c>
      <c r="O217" s="124">
        <v>0</v>
      </c>
      <c r="P217" s="124">
        <v>0</v>
      </c>
      <c r="Q217" s="41">
        <f t="shared" si="9"/>
        <v>0</v>
      </c>
      <c r="R217" s="124">
        <v>0</v>
      </c>
      <c r="S217" s="124">
        <v>0</v>
      </c>
      <c r="T217" s="124">
        <v>0</v>
      </c>
      <c r="U217" s="124">
        <v>0</v>
      </c>
      <c r="V217" s="124">
        <v>0</v>
      </c>
      <c r="W217" s="41">
        <f t="shared" si="10"/>
        <v>0</v>
      </c>
      <c r="X217" s="124">
        <v>0</v>
      </c>
      <c r="Y217" s="41">
        <f t="shared" si="12"/>
        <v>0</v>
      </c>
      <c r="Z217" s="124">
        <v>0</v>
      </c>
      <c r="AA217" s="124">
        <v>0</v>
      </c>
      <c r="AB217" s="124">
        <v>0</v>
      </c>
      <c r="AC217" s="41">
        <f t="shared" si="11"/>
        <v>0</v>
      </c>
      <c r="AD217" s="124">
        <v>0</v>
      </c>
      <c r="AE217" s="124">
        <v>0</v>
      </c>
      <c r="AF217" s="124">
        <v>0</v>
      </c>
      <c r="AG217" s="124">
        <v>0</v>
      </c>
    </row>
    <row r="218" spans="2:33" ht="14.25" customHeight="1">
      <c r="B218" s="25" t="s">
        <v>424</v>
      </c>
      <c r="C218" s="26" t="s">
        <v>425</v>
      </c>
      <c r="D218" s="124">
        <v>238976.9</v>
      </c>
      <c r="E218" s="124">
        <v>0</v>
      </c>
      <c r="F218" s="124">
        <v>253197.13</v>
      </c>
      <c r="G218" s="124">
        <v>0</v>
      </c>
      <c r="H218" s="124">
        <v>267744.5</v>
      </c>
      <c r="I218" s="124">
        <v>0</v>
      </c>
      <c r="J218" s="124">
        <v>238976.9</v>
      </c>
      <c r="K218" s="124">
        <v>0</v>
      </c>
      <c r="L218" s="124">
        <v>266950.14</v>
      </c>
      <c r="M218" s="124">
        <v>0</v>
      </c>
      <c r="N218" s="124">
        <v>274808.17</v>
      </c>
      <c r="O218" s="124">
        <v>0</v>
      </c>
      <c r="P218" s="124">
        <v>275230.56</v>
      </c>
      <c r="Q218" s="41">
        <f t="shared" si="9"/>
        <v>0</v>
      </c>
      <c r="R218" s="124">
        <v>266950.14</v>
      </c>
      <c r="S218" s="124">
        <v>274808.17</v>
      </c>
      <c r="T218" s="124">
        <v>275230.56</v>
      </c>
      <c r="U218" s="124">
        <v>0</v>
      </c>
      <c r="V218" s="124">
        <v>0</v>
      </c>
      <c r="W218" s="41">
        <f t="shared" si="10"/>
        <v>0</v>
      </c>
      <c r="X218" s="124">
        <v>282997.91</v>
      </c>
      <c r="Y218" s="41">
        <f t="shared" si="12"/>
        <v>282997.91</v>
      </c>
      <c r="Z218" s="124">
        <v>271371.65</v>
      </c>
      <c r="AA218" s="124">
        <v>274808.17</v>
      </c>
      <c r="AB218" s="124">
        <v>275230.56</v>
      </c>
      <c r="AC218" s="41">
        <f t="shared" si="11"/>
        <v>275230.56</v>
      </c>
      <c r="AD218" s="124">
        <v>0</v>
      </c>
      <c r="AE218" s="124">
        <v>0</v>
      </c>
      <c r="AF218" s="124">
        <v>0</v>
      </c>
      <c r="AG218" s="124">
        <v>0</v>
      </c>
    </row>
    <row r="219" spans="2:33" ht="14.25" customHeight="1">
      <c r="B219" s="27" t="s">
        <v>426</v>
      </c>
      <c r="C219" s="28" t="s">
        <v>427</v>
      </c>
      <c r="D219" s="124">
        <v>238976.9</v>
      </c>
      <c r="E219" s="124">
        <v>0</v>
      </c>
      <c r="F219" s="124">
        <v>253197.13</v>
      </c>
      <c r="G219" s="124">
        <v>0</v>
      </c>
      <c r="H219" s="124">
        <v>267744.5</v>
      </c>
      <c r="I219" s="124">
        <v>0</v>
      </c>
      <c r="J219" s="124">
        <v>238976.9</v>
      </c>
      <c r="K219" s="124">
        <v>0</v>
      </c>
      <c r="L219" s="124">
        <v>266950.14</v>
      </c>
      <c r="M219" s="124">
        <v>0</v>
      </c>
      <c r="N219" s="124">
        <v>274808.17</v>
      </c>
      <c r="O219" s="124">
        <v>0</v>
      </c>
      <c r="P219" s="124">
        <v>275230.56</v>
      </c>
      <c r="Q219" s="41">
        <f t="shared" si="9"/>
        <v>0</v>
      </c>
      <c r="R219" s="124">
        <v>266950.14</v>
      </c>
      <c r="S219" s="124">
        <v>274808.17</v>
      </c>
      <c r="T219" s="124">
        <v>275230.56</v>
      </c>
      <c r="U219" s="124">
        <v>0</v>
      </c>
      <c r="V219" s="124">
        <v>0</v>
      </c>
      <c r="W219" s="41">
        <f t="shared" si="10"/>
        <v>0</v>
      </c>
      <c r="X219" s="124">
        <v>282997.91</v>
      </c>
      <c r="Y219" s="41">
        <f t="shared" si="12"/>
        <v>282997.91</v>
      </c>
      <c r="Z219" s="124">
        <v>271371.65</v>
      </c>
      <c r="AA219" s="124">
        <v>274808.17</v>
      </c>
      <c r="AB219" s="124">
        <v>275230.56</v>
      </c>
      <c r="AC219" s="41">
        <f t="shared" si="11"/>
        <v>275230.56</v>
      </c>
      <c r="AD219" s="124">
        <v>0</v>
      </c>
      <c r="AE219" s="124">
        <v>0</v>
      </c>
      <c r="AF219" s="124">
        <v>0</v>
      </c>
      <c r="AG219" s="124">
        <v>0</v>
      </c>
    </row>
    <row r="220" spans="2:33" ht="14.25" customHeight="1">
      <c r="B220" s="25" t="s">
        <v>428</v>
      </c>
      <c r="C220" s="26" t="s">
        <v>429</v>
      </c>
      <c r="D220" s="124">
        <v>2859403.63</v>
      </c>
      <c r="E220" s="124">
        <v>0</v>
      </c>
      <c r="F220" s="124">
        <v>2242379.81</v>
      </c>
      <c r="G220" s="124">
        <v>0</v>
      </c>
      <c r="H220" s="124">
        <v>2259115.34</v>
      </c>
      <c r="I220" s="124">
        <v>0</v>
      </c>
      <c r="J220" s="124">
        <v>100</v>
      </c>
      <c r="K220" s="124">
        <v>0</v>
      </c>
      <c r="L220" s="124">
        <v>0</v>
      </c>
      <c r="M220" s="124">
        <v>0</v>
      </c>
      <c r="N220" s="124">
        <v>0</v>
      </c>
      <c r="O220" s="124">
        <v>0</v>
      </c>
      <c r="P220" s="124">
        <v>0</v>
      </c>
      <c r="Q220" s="41">
        <f t="shared" si="9"/>
        <v>0</v>
      </c>
      <c r="R220" s="124">
        <v>0</v>
      </c>
      <c r="S220" s="124">
        <v>0</v>
      </c>
      <c r="T220" s="124">
        <v>0</v>
      </c>
      <c r="U220" s="124">
        <v>0</v>
      </c>
      <c r="V220" s="124">
        <v>0</v>
      </c>
      <c r="W220" s="41">
        <f t="shared" si="10"/>
        <v>0</v>
      </c>
      <c r="X220" s="124">
        <v>3665534.58</v>
      </c>
      <c r="Y220" s="41">
        <f t="shared" si="12"/>
        <v>3665534.58</v>
      </c>
      <c r="Z220" s="124">
        <v>3421876.6</v>
      </c>
      <c r="AA220" s="124">
        <v>0</v>
      </c>
      <c r="AB220" s="124">
        <v>0</v>
      </c>
      <c r="AC220" s="41">
        <f t="shared" si="11"/>
        <v>0</v>
      </c>
      <c r="AD220" s="124">
        <v>0</v>
      </c>
      <c r="AE220" s="124">
        <v>0</v>
      </c>
      <c r="AF220" s="124">
        <v>0</v>
      </c>
      <c r="AG220" s="124">
        <v>0</v>
      </c>
    </row>
    <row r="221" spans="2:33" ht="14.25" customHeight="1">
      <c r="B221" s="27" t="s">
        <v>430</v>
      </c>
      <c r="C221" s="28" t="s">
        <v>431</v>
      </c>
      <c r="D221" s="124">
        <v>2859403.63</v>
      </c>
      <c r="E221" s="124">
        <v>0</v>
      </c>
      <c r="F221" s="124">
        <v>2242379.81</v>
      </c>
      <c r="G221" s="124">
        <v>0</v>
      </c>
      <c r="H221" s="124">
        <v>2259115.34</v>
      </c>
      <c r="I221" s="124">
        <v>0</v>
      </c>
      <c r="J221" s="124">
        <v>100</v>
      </c>
      <c r="K221" s="124">
        <v>0</v>
      </c>
      <c r="L221" s="124">
        <v>0</v>
      </c>
      <c r="M221" s="124">
        <v>0</v>
      </c>
      <c r="N221" s="124">
        <v>0</v>
      </c>
      <c r="O221" s="124">
        <v>0</v>
      </c>
      <c r="P221" s="124">
        <v>0</v>
      </c>
      <c r="Q221" s="41">
        <f t="shared" si="9"/>
        <v>0</v>
      </c>
      <c r="R221" s="124">
        <v>0</v>
      </c>
      <c r="S221" s="124">
        <v>0</v>
      </c>
      <c r="T221" s="124">
        <v>0</v>
      </c>
      <c r="U221" s="124">
        <v>0</v>
      </c>
      <c r="V221" s="124">
        <v>0</v>
      </c>
      <c r="W221" s="41">
        <f t="shared" si="10"/>
        <v>0</v>
      </c>
      <c r="X221" s="124">
        <v>3665534.58</v>
      </c>
      <c r="Y221" s="41">
        <f t="shared" si="12"/>
        <v>3665534.58</v>
      </c>
      <c r="Z221" s="124">
        <v>3421876.6</v>
      </c>
      <c r="AA221" s="124">
        <v>0</v>
      </c>
      <c r="AB221" s="124">
        <v>0</v>
      </c>
      <c r="AC221" s="41">
        <f t="shared" si="11"/>
        <v>0</v>
      </c>
      <c r="AD221" s="124">
        <v>0</v>
      </c>
      <c r="AE221" s="124">
        <v>0</v>
      </c>
      <c r="AF221" s="124">
        <v>0</v>
      </c>
      <c r="AG221" s="124">
        <v>0</v>
      </c>
    </row>
    <row r="222" spans="2:33" ht="14.25" customHeight="1">
      <c r="B222" s="25" t="s">
        <v>432</v>
      </c>
      <c r="C222" s="26" t="s">
        <v>433</v>
      </c>
      <c r="D222" s="124">
        <v>3812000</v>
      </c>
      <c r="E222" s="124">
        <v>0</v>
      </c>
      <c r="F222" s="124">
        <v>2212000</v>
      </c>
      <c r="G222" s="124">
        <v>0</v>
      </c>
      <c r="H222" s="124">
        <v>2212000</v>
      </c>
      <c r="I222" s="124">
        <v>0</v>
      </c>
      <c r="J222" s="124">
        <v>3921323.13</v>
      </c>
      <c r="K222" s="124">
        <v>109323.13</v>
      </c>
      <c r="L222" s="124">
        <v>1106317.94</v>
      </c>
      <c r="M222" s="124">
        <v>0</v>
      </c>
      <c r="N222" s="124">
        <v>1213700.15</v>
      </c>
      <c r="O222" s="124">
        <v>0</v>
      </c>
      <c r="P222" s="124">
        <v>1165184.5</v>
      </c>
      <c r="Q222" s="41">
        <f t="shared" si="9"/>
        <v>0</v>
      </c>
      <c r="R222" s="124">
        <v>1136615.32</v>
      </c>
      <c r="S222" s="124">
        <v>1210385.33</v>
      </c>
      <c r="T222" s="124">
        <v>1225644.87</v>
      </c>
      <c r="U222" s="124">
        <v>196766.06</v>
      </c>
      <c r="V222" s="124">
        <v>166468.68</v>
      </c>
      <c r="W222" s="41">
        <f t="shared" si="10"/>
        <v>169783.5</v>
      </c>
      <c r="X222" s="124">
        <v>1539000</v>
      </c>
      <c r="Y222" s="41">
        <f t="shared" si="12"/>
        <v>1539000</v>
      </c>
      <c r="Z222" s="124">
        <v>2907290.08</v>
      </c>
      <c r="AA222" s="124">
        <v>1953610.72</v>
      </c>
      <c r="AB222" s="124">
        <v>1708783.5</v>
      </c>
      <c r="AC222" s="41">
        <f t="shared" si="11"/>
        <v>1708783.5</v>
      </c>
      <c r="AD222" s="124">
        <v>0</v>
      </c>
      <c r="AE222" s="124">
        <v>0</v>
      </c>
      <c r="AF222" s="124">
        <v>169783.5</v>
      </c>
      <c r="AG222" s="124">
        <v>169783.5</v>
      </c>
    </row>
    <row r="223" spans="2:33" ht="14.25" customHeight="1">
      <c r="B223" s="25" t="s">
        <v>434</v>
      </c>
      <c r="C223" s="26" t="s">
        <v>435</v>
      </c>
      <c r="D223" s="124">
        <v>0</v>
      </c>
      <c r="E223" s="124">
        <v>0</v>
      </c>
      <c r="F223" s="124">
        <v>0</v>
      </c>
      <c r="G223" s="124">
        <v>0</v>
      </c>
      <c r="H223" s="124">
        <v>0</v>
      </c>
      <c r="I223" s="124">
        <v>0</v>
      </c>
      <c r="J223" s="124">
        <v>0</v>
      </c>
      <c r="K223" s="124">
        <v>0</v>
      </c>
      <c r="L223" s="124">
        <v>0</v>
      </c>
      <c r="M223" s="124">
        <v>0</v>
      </c>
      <c r="N223" s="124">
        <v>0</v>
      </c>
      <c r="O223" s="124">
        <v>0</v>
      </c>
      <c r="P223" s="124">
        <v>0</v>
      </c>
      <c r="Q223" s="41">
        <f t="shared" si="9"/>
        <v>0</v>
      </c>
      <c r="R223" s="124">
        <v>0</v>
      </c>
      <c r="S223" s="124">
        <v>0</v>
      </c>
      <c r="T223" s="124">
        <v>0</v>
      </c>
      <c r="U223" s="124">
        <v>0</v>
      </c>
      <c r="V223" s="124">
        <v>0</v>
      </c>
      <c r="W223" s="41">
        <f t="shared" si="10"/>
        <v>0</v>
      </c>
      <c r="X223" s="124">
        <v>0</v>
      </c>
      <c r="Y223" s="41">
        <f t="shared" si="12"/>
        <v>0</v>
      </c>
      <c r="Z223" s="124">
        <v>0</v>
      </c>
      <c r="AA223" s="124">
        <v>0</v>
      </c>
      <c r="AB223" s="124">
        <v>0</v>
      </c>
      <c r="AC223" s="41">
        <f t="shared" si="11"/>
        <v>0</v>
      </c>
      <c r="AD223" s="124">
        <v>0</v>
      </c>
      <c r="AE223" s="124">
        <v>0</v>
      </c>
      <c r="AF223" s="124">
        <v>0</v>
      </c>
      <c r="AG223" s="124">
        <v>0</v>
      </c>
    </row>
    <row r="224" spans="2:33" ht="14.25" customHeight="1">
      <c r="B224" s="27" t="s">
        <v>436</v>
      </c>
      <c r="C224" s="28" t="s">
        <v>437</v>
      </c>
      <c r="D224" s="124">
        <v>3812000</v>
      </c>
      <c r="E224" s="124">
        <v>0</v>
      </c>
      <c r="F224" s="124">
        <v>2212000</v>
      </c>
      <c r="G224" s="124">
        <v>0</v>
      </c>
      <c r="H224" s="124">
        <v>2212000</v>
      </c>
      <c r="I224" s="124">
        <v>0</v>
      </c>
      <c r="J224" s="124">
        <v>3921323.13</v>
      </c>
      <c r="K224" s="124">
        <v>109323.13</v>
      </c>
      <c r="L224" s="124">
        <v>1106317.94</v>
      </c>
      <c r="M224" s="124">
        <v>0</v>
      </c>
      <c r="N224" s="124">
        <v>1213700.15</v>
      </c>
      <c r="O224" s="124">
        <v>0</v>
      </c>
      <c r="P224" s="124">
        <v>1165184.5</v>
      </c>
      <c r="Q224" s="41">
        <f t="shared" si="9"/>
        <v>0</v>
      </c>
      <c r="R224" s="124">
        <v>1136615.32</v>
      </c>
      <c r="S224" s="124">
        <v>1210385.33</v>
      </c>
      <c r="T224" s="124">
        <v>1225644.87</v>
      </c>
      <c r="U224" s="124">
        <v>196766.06</v>
      </c>
      <c r="V224" s="124">
        <v>166468.68</v>
      </c>
      <c r="W224" s="41">
        <f t="shared" si="10"/>
        <v>169783.5</v>
      </c>
      <c r="X224" s="124">
        <v>1539000</v>
      </c>
      <c r="Y224" s="41">
        <f t="shared" si="12"/>
        <v>1539000</v>
      </c>
      <c r="Z224" s="124">
        <v>2907290.08</v>
      </c>
      <c r="AA224" s="124">
        <v>1953610.72</v>
      </c>
      <c r="AB224" s="124">
        <v>1708783.5</v>
      </c>
      <c r="AC224" s="41">
        <f t="shared" si="11"/>
        <v>1708783.5</v>
      </c>
      <c r="AD224" s="124">
        <v>0</v>
      </c>
      <c r="AE224" s="124">
        <v>0</v>
      </c>
      <c r="AF224" s="124">
        <v>169783.5</v>
      </c>
      <c r="AG224" s="124">
        <v>169783.5</v>
      </c>
    </row>
    <row r="225" spans="2:33" ht="14.25" customHeight="1">
      <c r="B225" s="25"/>
      <c r="C225" s="70"/>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2:33" ht="14.25" customHeight="1">
      <c r="B226" s="27"/>
      <c r="C226" s="7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2:33" ht="15" customHeight="1">
      <c r="B227" s="72" t="s">
        <v>607</v>
      </c>
      <c r="C227" s="73" t="s">
        <v>438</v>
      </c>
      <c r="D227" s="124">
        <v>20009785.04</v>
      </c>
      <c r="E227" s="124">
        <v>0</v>
      </c>
      <c r="F227" s="124">
        <v>15250612.91</v>
      </c>
      <c r="G227" s="124">
        <v>0</v>
      </c>
      <c r="H227" s="124">
        <v>14159812.44</v>
      </c>
      <c r="I227" s="124">
        <v>0</v>
      </c>
      <c r="J227" s="124">
        <v>22227668.33</v>
      </c>
      <c r="K227" s="124">
        <v>5340810.13</v>
      </c>
      <c r="L227" s="124">
        <v>9719597.2</v>
      </c>
      <c r="M227" s="124">
        <v>703612.34</v>
      </c>
      <c r="N227" s="124">
        <v>10409030.45</v>
      </c>
      <c r="O227" s="124">
        <v>471812.81</v>
      </c>
      <c r="P227" s="124">
        <v>13602181.55</v>
      </c>
      <c r="Q227" s="41">
        <f t="shared" si="9"/>
        <v>220758.85</v>
      </c>
      <c r="R227" s="124">
        <v>9563841.71</v>
      </c>
      <c r="S227" s="124">
        <v>10520320.38</v>
      </c>
      <c r="T227" s="124">
        <v>9800815.87</v>
      </c>
      <c r="U227" s="124">
        <v>1522431.59</v>
      </c>
      <c r="V227" s="124">
        <v>1651473.99</v>
      </c>
      <c r="W227" s="41">
        <f>IF($D$238=1,AF127,(AG227+0))</f>
        <v>1540184.06</v>
      </c>
      <c r="X227" s="124">
        <v>18813462.46</v>
      </c>
      <c r="Y227" s="41">
        <f t="shared" si="12"/>
        <v>18592703.61</v>
      </c>
      <c r="Z227" s="124">
        <v>17107307.46</v>
      </c>
      <c r="AA227" s="124">
        <v>14366159.21</v>
      </c>
      <c r="AB227" s="124">
        <v>15379729.28</v>
      </c>
      <c r="AC227" s="41">
        <f>IF($D$238=1,T227,(AB227+0))</f>
        <v>15379729.28</v>
      </c>
      <c r="AD227" s="124">
        <v>220758.85</v>
      </c>
      <c r="AE227" s="124">
        <v>211769.05</v>
      </c>
      <c r="AF227" s="124">
        <v>1535849.62</v>
      </c>
      <c r="AG227" s="124">
        <v>1540184.06</v>
      </c>
    </row>
    <row r="230" spans="3:8" ht="15.75" customHeight="1">
      <c r="C230" s="30" t="s">
        <v>439</v>
      </c>
      <c r="D230" s="129" t="s">
        <v>860</v>
      </c>
      <c r="H230" s="31"/>
    </row>
    <row r="231" spans="3:8" ht="15.75" customHeight="1">
      <c r="C231" s="30" t="s">
        <v>440</v>
      </c>
      <c r="D231" s="129" t="s">
        <v>861</v>
      </c>
      <c r="H231" s="31"/>
    </row>
    <row r="232" spans="3:8" ht="14.25" customHeight="1">
      <c r="C232" s="3" t="s">
        <v>441</v>
      </c>
      <c r="D232" s="129" t="s">
        <v>862</v>
      </c>
      <c r="H232" s="31"/>
    </row>
    <row r="233" spans="3:8" ht="14.25" customHeight="1">
      <c r="C233" s="3" t="s">
        <v>442</v>
      </c>
      <c r="D233" s="31">
        <f>D232+1</f>
        <v>2020</v>
      </c>
      <c r="H233" s="31"/>
    </row>
    <row r="234" spans="3:8" ht="14.25" customHeight="1">
      <c r="C234" s="3" t="s">
        <v>443</v>
      </c>
      <c r="D234" s="31">
        <f>D233+1</f>
        <v>2021</v>
      </c>
      <c r="H234" s="31"/>
    </row>
    <row r="235" spans="3:8" ht="14.25" customHeight="1">
      <c r="C235" s="3" t="s">
        <v>444</v>
      </c>
      <c r="D235" s="130"/>
      <c r="H235" s="31"/>
    </row>
    <row r="237" spans="3:4" ht="14.25" customHeight="1">
      <c r="C237" s="3" t="s">
        <v>608</v>
      </c>
      <c r="D237" s="131">
        <v>3</v>
      </c>
    </row>
    <row r="238" spans="3:4" ht="14.25" customHeight="1">
      <c r="C238" s="84" t="s">
        <v>796</v>
      </c>
      <c r="D238" s="131">
        <v>2</v>
      </c>
    </row>
    <row r="240" ht="14.25" customHeight="1">
      <c r="C240" s="123"/>
    </row>
    <row r="241" ht="14.25" customHeight="1">
      <c r="C241" s="123"/>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5"/>
  <sheetViews>
    <sheetView zoomScale="70" zoomScaleNormal="70" zoomScalePageLayoutView="0" workbookViewId="0" topLeftCell="A1">
      <selection activeCell="F40" sqref="F40"/>
    </sheetView>
  </sheetViews>
  <sheetFormatPr defaultColWidth="8.8515625" defaultRowHeight="15"/>
  <cols>
    <col min="1" max="1" width="5.421875" style="96" customWidth="1"/>
    <col min="2" max="2" width="45.8515625" style="96" customWidth="1"/>
    <col min="3" max="3" width="58.7109375" style="96" customWidth="1"/>
    <col min="4" max="6" width="12.57421875" style="96" customWidth="1"/>
    <col min="7" max="7" width="8.8515625" style="96" customWidth="1"/>
    <col min="8" max="8" width="10.00390625" style="96" bestFit="1" customWidth="1"/>
    <col min="9" max="9" width="19.28125" style="96" customWidth="1"/>
    <col min="10" max="10" width="10.7109375" style="96" bestFit="1" customWidth="1"/>
    <col min="11" max="16384" width="8.8515625" style="96" customWidth="1"/>
  </cols>
  <sheetData>
    <row r="1" spans="1:6" ht="18" customHeight="1">
      <c r="A1" s="64" t="str">
        <f>CONCATENATE("Denominazione Ente: ",Dati!D230," - ",Dati!D231)</f>
        <v>Denominazione Ente: COMUNE DI ALZANO LOMBARDO - PROVINCIA DI BERGAMO</v>
      </c>
      <c r="B1" s="95"/>
      <c r="C1" s="95"/>
      <c r="D1" s="95"/>
      <c r="E1" s="95"/>
      <c r="F1" s="95"/>
    </row>
    <row r="2" spans="1:6" ht="18" customHeight="1">
      <c r="A2" s="64"/>
      <c r="B2" s="97"/>
      <c r="C2" s="95"/>
      <c r="D2" s="98"/>
      <c r="E2" s="65" t="s">
        <v>627</v>
      </c>
      <c r="F2" s="99"/>
    </row>
    <row r="3" spans="1:6" ht="23.25" customHeight="1">
      <c r="A3" s="144" t="s">
        <v>445</v>
      </c>
      <c r="B3" s="144"/>
      <c r="C3" s="144"/>
      <c r="D3" s="144"/>
      <c r="E3" s="144"/>
      <c r="F3" s="144"/>
    </row>
    <row r="4" spans="1:6" ht="18" customHeight="1">
      <c r="A4" s="146" t="str">
        <f>CONCATENATE("                                                Bilancio di Previsione esercizi ",Dati!D232,",",Dati!D233," e ",Dati!D234)</f>
        <v>                                                Bilancio di Previsione esercizi 2019,2020 e 2021</v>
      </c>
      <c r="B4" s="147"/>
      <c r="C4" s="147"/>
      <c r="D4" s="148" t="str">
        <f>CONCATENATE("approvato il ")</f>
        <v>approvato il </v>
      </c>
      <c r="E4" s="149"/>
      <c r="F4" s="100">
        <f>IF(Dati!$D$235&lt;&gt;"",Dati!$D$235,"")</f>
      </c>
    </row>
    <row r="5" spans="1:6" ht="18" customHeight="1">
      <c r="A5" s="145" t="s">
        <v>446</v>
      </c>
      <c r="B5" s="145"/>
      <c r="C5" s="145"/>
      <c r="D5" s="145"/>
      <c r="E5" s="145"/>
      <c r="F5" s="145"/>
    </row>
    <row r="6" spans="1:6" ht="54" customHeight="1">
      <c r="A6" s="134" t="s">
        <v>467</v>
      </c>
      <c r="B6" s="135"/>
      <c r="C6" s="138" t="s">
        <v>547</v>
      </c>
      <c r="D6" s="140" t="s">
        <v>468</v>
      </c>
      <c r="E6" s="141"/>
      <c r="F6" s="142"/>
    </row>
    <row r="7" spans="1:6" ht="23.25" customHeight="1">
      <c r="A7" s="136"/>
      <c r="B7" s="137"/>
      <c r="C7" s="139"/>
      <c r="D7" s="101" t="str">
        <f>Dati!D232</f>
        <v>2019</v>
      </c>
      <c r="E7" s="101">
        <f>Dati!D233</f>
        <v>2020</v>
      </c>
      <c r="F7" s="101">
        <f>Dati!D234</f>
        <v>2021</v>
      </c>
    </row>
    <row r="8" spans="1:6" s="95" customFormat="1" ht="18.75" customHeight="1">
      <c r="A8" s="102">
        <v>1</v>
      </c>
      <c r="B8" s="102" t="s">
        <v>469</v>
      </c>
      <c r="C8" s="102"/>
      <c r="D8" s="102"/>
      <c r="E8" s="102"/>
      <c r="F8" s="102"/>
    </row>
    <row r="9" spans="1:6" ht="100.5" customHeight="1">
      <c r="A9" s="50" t="s">
        <v>447</v>
      </c>
      <c r="B9" s="51" t="s">
        <v>470</v>
      </c>
      <c r="C9" s="51" t="s">
        <v>519</v>
      </c>
      <c r="D9" s="91">
        <f>(Dati!D31+Dati!D34+Dati!D50+Dati!D66+Dati!D40-Dati!D11+Dati!D39)/(Dati!D14+Dati!D17+Dati!D18)</f>
        <v>0.31026318138320463</v>
      </c>
      <c r="E9" s="91">
        <f>(Dati!E31+Dati!E34+Dati!E50+Dati!E66+Dati!E40-Dati!E11+Dati!E39)/(Dati!E14+Dati!E17+Dati!E18)</f>
        <v>0.3223952343819804</v>
      </c>
      <c r="F9" s="91">
        <f>(Dati!F31+Dati!F34+Dati!F50+Dati!F66+Dati!F40-Dati!F11+Dati!F39)/(Dati!F14+Dati!F17+Dati!F18)</f>
        <v>0.32385520182938166</v>
      </c>
    </row>
    <row r="10" spans="1:6" s="95" customFormat="1" ht="18.75" customHeight="1">
      <c r="A10" s="102">
        <v>2</v>
      </c>
      <c r="B10" s="103" t="s">
        <v>471</v>
      </c>
      <c r="C10" s="104"/>
      <c r="D10" s="105"/>
      <c r="E10" s="105"/>
      <c r="F10" s="106"/>
    </row>
    <row r="11" spans="1:9" ht="52.5" customHeight="1">
      <c r="A11" s="50" t="s">
        <v>448</v>
      </c>
      <c r="B11" s="51" t="s">
        <v>472</v>
      </c>
      <c r="C11" s="51" t="s">
        <v>520</v>
      </c>
      <c r="D11" s="107">
        <f>(IF(Dati!$D$237=3,(Dati!$G$14+Dati!$G$17+Dati!$G$18+Dati!$H$14+Dati!$H$17+Dati!$H$18+Dati!$W$14+Dati!$W$17+Dati!$W$18),(Dati!$H$14+Dati!$H$17+Dati!$H$18+Dati!$W$14+Dati!$W$17+Dati!$W$18))/Dati!$D$237)/(Dati!D14+Dati!D17+Dati!D18)</f>
        <v>0.9717488612895112</v>
      </c>
      <c r="E11" s="107">
        <f>(IF(Dati!$D$237=3,(Dati!$G$14+Dati!$G$17+Dati!$G$18+Dati!$H$14+Dati!$H$17+Dati!$H$18+Dati!$W$14+Dati!$W$17+Dati!$W$18),(Dati!$H$14+Dati!$H$17+Dati!$H$18+Dati!$W$14+Dati!$W$17+Dati!$W$18))/Dati!$D$237)/(Dati!E14+Dati!E17+Dati!E18)</f>
        <v>0.9968144714738753</v>
      </c>
      <c r="F11" s="107">
        <f>(IF(Dati!$D$237=3,(Dati!$G$14+Dati!$G$17+Dati!$G$18+Dati!$H$14+Dati!$H$17+Dati!$H$18+Dati!$W$14+Dati!$W$17+Dati!$W$18),(Dati!$H$14+Dati!$H$17+Dati!$H$18+Dati!$W$14+Dati!$W$17+Dati!$W$18))/Dati!$D$237)/(Dati!F14+Dati!F17+Dati!F18)</f>
        <v>0.9952932688425479</v>
      </c>
      <c r="I11" s="108"/>
    </row>
    <row r="12" spans="1:6" ht="58.5" customHeight="1">
      <c r="A12" s="50" t="s">
        <v>449</v>
      </c>
      <c r="B12" s="88" t="s">
        <v>726</v>
      </c>
      <c r="C12" s="51" t="s">
        <v>521</v>
      </c>
      <c r="D12" s="91">
        <f>(IF(Dati!$D$237=3,(Dati!T14+Dati!T17+Dati!T18+Dati!U14+Dati!U17+Dati!U18+Dati!X14+Dati!X17+Dati!X18),(Dati!U14+Dati!U17+Dati!U18+Dati!X14+Dati!X17+Dati!X18))/Dati!$D$237)/(Dati!S14+Dati!S17+Dati!S18)</f>
        <v>0.8672202465864172</v>
      </c>
      <c r="E12" s="91"/>
      <c r="F12" s="91"/>
    </row>
    <row r="13" spans="1:6" ht="75.75" customHeight="1">
      <c r="A13" s="50" t="s">
        <v>450</v>
      </c>
      <c r="B13" s="51" t="s">
        <v>473</v>
      </c>
      <c r="C13" s="51" t="s">
        <v>522</v>
      </c>
      <c r="D13" s="91">
        <f>(IF(Dati!$D$237=3,(Dati!$G$15+Dati!$G$16+Dati!$G$18+Dati!$H$15+Dati!$H$16+Dati!$H$18+Dati!$W$15+Dati!$W$16+Dati!$W$18),(Dati!$H$15+Dati!$H$16+Dati!$H$18+Dati!$W$15+Dati!$W$16+Dati!$W$18))/Dati!$D$237)/(Dati!D14+Dati!D17+Dati!D18)</f>
        <v>0.7338495323719654</v>
      </c>
      <c r="E13" s="91">
        <f>(IF(Dati!$D$237=3,(Dati!$G$15+Dati!$G$16+Dati!$G$18+Dati!$H$15+Dati!$H$16+Dati!$H$18+Dati!$W$15+Dati!$W$16+Dati!$W$18),(Dati!$H$15+Dati!$H$16+Dati!$H$18+Dati!$W$15+Dati!$W$16+Dati!$W$18))/Dati!$D$237)/(Dati!E14+Dati!E17+Dati!E18)</f>
        <v>0.7527786889114484</v>
      </c>
      <c r="F13" s="91">
        <f>(IF(Dati!$D$237=3,(Dati!$G$15+Dati!$G$16+Dati!$G$18+Dati!$H$15+Dati!$H$16+Dati!$H$18+Dati!$W$15+Dati!$W$16+Dati!$W$18),(Dati!$H$15+Dati!$H$16+Dati!$H$18+Dati!$W$15+Dati!$W$16+Dati!$W$18))/Dati!$D$237)/(Dati!F14+Dati!F17+Dati!F18)</f>
        <v>0.7516299004907847</v>
      </c>
    </row>
    <row r="14" spans="1:6" ht="75" customHeight="1">
      <c r="A14" s="50" t="s">
        <v>451</v>
      </c>
      <c r="B14" s="51" t="s">
        <v>474</v>
      </c>
      <c r="C14" s="51" t="s">
        <v>523</v>
      </c>
      <c r="D14" s="91">
        <f>(IF(Dati!$D$237=3,(Dati!T15-Dati!T16+Dati!T18+Dati!U15-Dati!U16+Dati!U18+Dati!X15-Dati!X16+Dati!X18),(Dati!U15-Dati!U16+Dati!U18+Dati!X15-Dati!X16+Dati!X18))/Dati!$D$237)/(Dati!S14+Dati!S17+Dati!S18)</f>
        <v>0.6539059020864942</v>
      </c>
      <c r="E14" s="91"/>
      <c r="F14" s="91"/>
    </row>
    <row r="15" spans="1:6" s="95" customFormat="1" ht="18.75" customHeight="1">
      <c r="A15" s="109">
        <v>3</v>
      </c>
      <c r="B15" s="102" t="s">
        <v>475</v>
      </c>
      <c r="C15" s="102"/>
      <c r="D15" s="110"/>
      <c r="E15" s="110"/>
      <c r="F15" s="110"/>
    </row>
    <row r="16" spans="1:6" ht="87" customHeight="1">
      <c r="A16" s="50" t="s">
        <v>452</v>
      </c>
      <c r="B16" s="51" t="s">
        <v>476</v>
      </c>
      <c r="C16" s="51" t="s">
        <v>524</v>
      </c>
      <c r="D16" s="91">
        <f>(Dati!D34+Dati!D40-Dati!D11+Dati!D39)/(Dati!D33-Dati!D53-Dati!D11+Dati!D39)</f>
        <v>0.3010043257242686</v>
      </c>
      <c r="E16" s="91">
        <f>(Dati!E34+Dati!E40-Dati!E11+Dati!E39)/(Dati!E33-Dati!E53-Dati!E11+Dati!E39)</f>
        <v>0.31145374826499156</v>
      </c>
      <c r="F16" s="91">
        <f>(Dati!F34+Dati!F40-Dati!F11+Dati!F39)/(Dati!F33-Dati!F53-Dati!F11+Dati!F39)</f>
        <v>0.31194472865014344</v>
      </c>
    </row>
    <row r="17" spans="1:6" ht="96" customHeight="1">
      <c r="A17" s="50" t="s">
        <v>453</v>
      </c>
      <c r="B17" s="51" t="s">
        <v>477</v>
      </c>
      <c r="C17" s="50"/>
      <c r="D17" s="91">
        <f>((Dati!D35+Dati!D36+Dati!D37+Dati!D38+Dati!D39-Dati!D11))/(Dati!D34+Dati!D40-Dati!D11+Dati!D39)</f>
        <v>0.11198760441818204</v>
      </c>
      <c r="E17" s="91">
        <f>((Dati!E35+Dati!E36+Dati!E37+Dati!E38+Dati!E39-Dati!E11))/(Dati!E34+Dati!E40-Dati!E11+Dati!E39)</f>
        <v>0.11011956907994706</v>
      </c>
      <c r="F17" s="91">
        <f>((Dati!F35+Dati!F36+Dati!F37+Dati!F38+Dati!F39-Dati!F11))/(Dati!F34+Dati!F40-Dati!F11+Dati!F39)</f>
        <v>0.11011956907994706</v>
      </c>
    </row>
    <row r="18" spans="1:6" ht="111.75" customHeight="1">
      <c r="A18" s="50" t="s">
        <v>454</v>
      </c>
      <c r="B18" s="88" t="s">
        <v>725</v>
      </c>
      <c r="C18" s="88" t="s">
        <v>724</v>
      </c>
      <c r="D18" s="91">
        <f>(Dati!D42+Dati!D43)/(Dati!D34+Dati!D40+Dati!D39-Dati!D11)</f>
        <v>0</v>
      </c>
      <c r="E18" s="91">
        <f>(Dati!E42+Dati!E43)/(Dati!E34+Dati!E40+Dati!E39-Dati!E11)</f>
        <v>0</v>
      </c>
      <c r="F18" s="91">
        <f>(Dati!F42+Dati!F43)/(Dati!F34+Dati!F40+Dati!F39-Dati!F11)</f>
        <v>0</v>
      </c>
    </row>
    <row r="19" spans="1:6" ht="85.5" customHeight="1">
      <c r="A19" s="50" t="s">
        <v>455</v>
      </c>
      <c r="B19" s="51" t="s">
        <v>478</v>
      </c>
      <c r="C19" s="51" t="s">
        <v>525</v>
      </c>
      <c r="D19" s="92">
        <f>(Dati!D34+Dati!D40-Dati!D11+Dati!D39)/Dati!$P$71</f>
        <v>184.21749029659466</v>
      </c>
      <c r="E19" s="92">
        <f>(Dati!E34+Dati!E40-Dati!E11+Dati!E39)/Dati!$P$71</f>
        <v>185.55452361772245</v>
      </c>
      <c r="F19" s="92">
        <f>(Dati!F34+Dati!F40-Dati!F11+Dati!F39)/Dati!$P$71</f>
        <v>185.55452361772245</v>
      </c>
    </row>
    <row r="20" spans="1:6" s="95" customFormat="1" ht="18.75" customHeight="1">
      <c r="A20" s="109">
        <v>4</v>
      </c>
      <c r="B20" s="102" t="s">
        <v>479</v>
      </c>
      <c r="C20" s="102"/>
      <c r="D20" s="110"/>
      <c r="E20" s="110"/>
      <c r="F20" s="110"/>
    </row>
    <row r="21" spans="1:6" ht="69" customHeight="1">
      <c r="A21" s="50" t="s">
        <v>456</v>
      </c>
      <c r="B21" s="50" t="s">
        <v>480</v>
      </c>
      <c r="C21" s="51" t="s">
        <v>526</v>
      </c>
      <c r="D21" s="91">
        <f>(Dati!D44+Dati!D45+Dati!D46)/(Dati!D32)</f>
        <v>0.2948485949381914</v>
      </c>
      <c r="E21" s="91">
        <f>(Dati!E44+Dati!E45+Dati!E46)/(Dati!E32)</f>
        <v>0.29797963215639384</v>
      </c>
      <c r="F21" s="91">
        <f>(Dati!F44+Dati!F45+Dati!F46)/(Dati!F32)</f>
        <v>0.29803521967692526</v>
      </c>
    </row>
    <row r="22" spans="1:6" s="95" customFormat="1" ht="18.75" customHeight="1">
      <c r="A22" s="109">
        <v>5</v>
      </c>
      <c r="B22" s="102" t="s">
        <v>481</v>
      </c>
      <c r="C22" s="102"/>
      <c r="D22" s="110"/>
      <c r="E22" s="110"/>
      <c r="F22" s="110"/>
    </row>
    <row r="23" spans="1:6" ht="30" customHeight="1">
      <c r="A23" s="50" t="s">
        <v>457</v>
      </c>
      <c r="B23" s="88" t="s">
        <v>609</v>
      </c>
      <c r="C23" s="51" t="s">
        <v>527</v>
      </c>
      <c r="D23" s="91">
        <f>(Dati!D50)/(Dati!D14+Dati!D17+Dati!D18)</f>
        <v>0.005446215951063393</v>
      </c>
      <c r="E23" s="91">
        <f>(Dati!E50)/(Dati!E14+Dati!E17+Dati!E18)</f>
        <v>0.006028972033899296</v>
      </c>
      <c r="F23" s="91">
        <f>(Dati!F50)/(Dati!F14+Dati!F17+Dati!F18)</f>
        <v>0.0063228771619055135</v>
      </c>
    </row>
    <row r="24" spans="1:6" ht="42" customHeight="1">
      <c r="A24" s="50" t="s">
        <v>458</v>
      </c>
      <c r="B24" s="88" t="s">
        <v>610</v>
      </c>
      <c r="C24" s="51" t="s">
        <v>528</v>
      </c>
      <c r="D24" s="91">
        <f>IF(Dati!D50&gt;0,(Dati!D51/Dati!D50),0)</f>
        <v>0.00203192066081311</v>
      </c>
      <c r="E24" s="91">
        <f>IF(Dati!E50&gt;0,(Dati!E51/Dati!E50),0)</f>
        <v>0</v>
      </c>
      <c r="F24" s="91">
        <f>IF(Dati!F50&gt;0,(Dati!F51/Dati!F50),0)</f>
        <v>0</v>
      </c>
    </row>
    <row r="25" spans="1:6" ht="42.75" customHeight="1">
      <c r="A25" s="50" t="s">
        <v>459</v>
      </c>
      <c r="B25" s="51" t="s">
        <v>482</v>
      </c>
      <c r="C25" s="51" t="s">
        <v>529</v>
      </c>
      <c r="D25" s="91">
        <f>IF(Dati!D50&gt;0,(Dati!D52/Dati!D50),0)</f>
        <v>0</v>
      </c>
      <c r="E25" s="91">
        <f>IF(Dati!E50&gt;0,(Dati!E52/Dati!E50),0)</f>
        <v>0</v>
      </c>
      <c r="F25" s="91">
        <f>IF(Dati!F50&gt;0,(Dati!F52/Dati!F50),0)</f>
        <v>0</v>
      </c>
    </row>
    <row r="26" spans="1:6" s="95" customFormat="1" ht="18.75" customHeight="1">
      <c r="A26" s="109">
        <v>6</v>
      </c>
      <c r="B26" s="102" t="s">
        <v>483</v>
      </c>
      <c r="C26" s="111"/>
      <c r="D26" s="93"/>
      <c r="E26" s="93"/>
      <c r="F26" s="93"/>
    </row>
    <row r="27" spans="1:6" ht="41.25" customHeight="1">
      <c r="A27" s="50" t="s">
        <v>460</v>
      </c>
      <c r="B27" s="88" t="s">
        <v>611</v>
      </c>
      <c r="C27" s="51" t="s">
        <v>530</v>
      </c>
      <c r="D27" s="91">
        <f>(Dati!D56+Dati!D58)/(Dati!D32+Dati!D55)</f>
        <v>0.3336622546801963</v>
      </c>
      <c r="E27" s="91">
        <f>(Dati!E56+Dati!E58)/(Dati!E32+Dati!E55)</f>
        <v>0.19479398589209213</v>
      </c>
      <c r="F27" s="91">
        <f>(Dati!F56+Dati!F58)/(Dati!F32+Dati!F55)</f>
        <v>0.0990579232932347</v>
      </c>
    </row>
    <row r="28" spans="1:6" ht="55.5" customHeight="1">
      <c r="A28" s="50" t="s">
        <v>461</v>
      </c>
      <c r="B28" s="51" t="s">
        <v>484</v>
      </c>
      <c r="C28" s="51" t="s">
        <v>531</v>
      </c>
      <c r="D28" s="92">
        <f>Dati!D56/Dati!$P$71</f>
        <v>313.51960527279385</v>
      </c>
      <c r="E28" s="92">
        <f>Dati!E56/Dati!$P$71</f>
        <v>148.77480776272427</v>
      </c>
      <c r="F28" s="92">
        <f>Dati!F56/Dati!$P$71</f>
        <v>66.71695349688758</v>
      </c>
    </row>
    <row r="29" spans="1:6" ht="56.25" customHeight="1">
      <c r="A29" s="50" t="s">
        <v>462</v>
      </c>
      <c r="B29" s="51" t="s">
        <v>485</v>
      </c>
      <c r="C29" s="51" t="s">
        <v>532</v>
      </c>
      <c r="D29" s="92">
        <f>(Dati!D58/Dati!$P$71)</f>
        <v>6.569022336140608</v>
      </c>
      <c r="E29" s="92">
        <f>(Dati!E58/Dati!$P$71)</f>
        <v>1.6257781032588796</v>
      </c>
      <c r="F29" s="92">
        <f>(Dati!F58/Dati!$P$71)</f>
        <v>1.6257781032588796</v>
      </c>
    </row>
    <row r="30" spans="1:6" ht="68.25" customHeight="1">
      <c r="A30" s="50" t="s">
        <v>463</v>
      </c>
      <c r="B30" s="51" t="s">
        <v>486</v>
      </c>
      <c r="C30" s="51" t="s">
        <v>533</v>
      </c>
      <c r="D30" s="92">
        <f>(Dati!D56+Dati!D58)/Dati!$P$71</f>
        <v>320.0886276089345</v>
      </c>
      <c r="E30" s="92">
        <f>(Dati!E56+Dati!E58)/Dati!$P$71</f>
        <v>150.40058586598315</v>
      </c>
      <c r="F30" s="92">
        <f>(Dati!F56+Dati!F58)/Dati!$P$71</f>
        <v>68.34273160014646</v>
      </c>
    </row>
    <row r="31" spans="1:6" ht="53.25" customHeight="1">
      <c r="A31" s="50" t="s">
        <v>464</v>
      </c>
      <c r="B31" s="88" t="s">
        <v>612</v>
      </c>
      <c r="C31" s="51" t="s">
        <v>534</v>
      </c>
      <c r="D31" s="91">
        <f>IF((Dati!D56+Dati!D58-Dati!AB56-Dati!AB58)&gt;0,(Dati!D240)/(Dati!D56+Dati!D58-Dati!AB56-Dati!AB58),0)</f>
        <v>0</v>
      </c>
      <c r="E31" s="91">
        <f>((Dati!E14+Dati!E17+Dati!E18+Dati!E10)-Dati!E33)/(Dati!E56+Dati!E58-Dati!AC56-Dati!AC58)</f>
        <v>0.15577446292581215</v>
      </c>
      <c r="F31" s="91">
        <f>((Dati!F14+Dati!F17+Dati!F18+Dati!F10)-Dati!F33)/(Dati!F56+Dati!F58-Dati!AD56-Dati!AD58)</f>
        <v>0.3589341205717837</v>
      </c>
    </row>
    <row r="32" spans="1:6" ht="55.5" customHeight="1">
      <c r="A32" s="50" t="s">
        <v>465</v>
      </c>
      <c r="B32" s="88" t="s">
        <v>613</v>
      </c>
      <c r="C32" s="51" t="s">
        <v>535</v>
      </c>
      <c r="D32" s="91">
        <f>IF((Dati!D22-Dati!D65)&gt;0,((Dati!D22-Dati!D65)/(Dati!D56+Dati!D58-Dati!AB56-Dati!AB58)),0)</f>
        <v>0</v>
      </c>
      <c r="E32" s="91">
        <f>IF((Dati!E22-Dati!E65)&gt;0,((Dati!E22-Dati!E65)/(Dati!E56+Dati!E58-Dati!AC56-Dati!AC58)),0)</f>
        <v>0</v>
      </c>
      <c r="F32" s="91">
        <f>IF((Dati!F22-Dati!F65)&gt;0,((Dati!F22-Dati!F65)/(Dati!F56+Dati!F58-Dati!AD56-Dati!AD58)),0)</f>
        <v>0</v>
      </c>
    </row>
    <row r="33" spans="1:6" ht="94.5" customHeight="1">
      <c r="A33" s="50" t="s">
        <v>466</v>
      </c>
      <c r="B33" s="88" t="s">
        <v>487</v>
      </c>
      <c r="C33" s="51" t="s">
        <v>536</v>
      </c>
      <c r="D33" s="91">
        <f>(Dati!D23-Dati!D24-Dati!D25)/(Dati!D56+Dati!D58-Dati!AB56-Dati!AB58)</f>
        <v>0.034740347335410635</v>
      </c>
      <c r="E33" s="91">
        <f>(Dati!E23-Dati!E24-Dati!E25)/(Dati!E56+Dati!E58-Dati!AC56-Dati!AC58)</f>
        <v>0.12173032351050776</v>
      </c>
      <c r="F33" s="91">
        <f>(Dati!F23-Dati!F24-Dati!F25)/(Dati!F56+Dati!F58-Dati!AD56-Dati!AD58)</f>
        <v>0.26788967231735283</v>
      </c>
    </row>
    <row r="34" spans="1:6" ht="18" customHeight="1">
      <c r="A34" s="112">
        <v>7</v>
      </c>
      <c r="B34" s="113" t="s">
        <v>488</v>
      </c>
      <c r="C34" s="114"/>
      <c r="D34" s="115"/>
      <c r="E34" s="115"/>
      <c r="F34" s="116"/>
    </row>
    <row r="35" spans="1:6" ht="74.25" customHeight="1">
      <c r="A35" s="50" t="s">
        <v>727</v>
      </c>
      <c r="B35" s="50" t="s">
        <v>489</v>
      </c>
      <c r="C35" s="51" t="s">
        <v>537</v>
      </c>
      <c r="D35" s="91">
        <f>(Dati!$Q$41+Dati!$Q$57)/(Dati!D41+Dati!$M$41+Dati!D57+Dati!$M$57)</f>
        <v>1</v>
      </c>
      <c r="E35" s="91"/>
      <c r="F35" s="91"/>
    </row>
    <row r="36" spans="1:10" ht="173.25" customHeight="1">
      <c r="A36" s="50" t="s">
        <v>728</v>
      </c>
      <c r="B36" s="51" t="s">
        <v>490</v>
      </c>
      <c r="C36" s="51" t="s">
        <v>538</v>
      </c>
      <c r="D36" s="91">
        <f>(Dati!$Q$47+Dati!$Q$48+Dati!$Q$49+Dati!$Q$60+Dati!$Q$61+Dati!$Q$62+Dati!$Q$63+Dati!$Q$64)/(Dati!D47+Dati!D48+Dati!D49+Dati!D60+Dati!D61+Dati!D62+Dati!D63+Dati!D64+Dati!$M$47+Dati!$M$48+Dati!$M$49+Dati!$M$60+Dati!$M$61+Dati!$M$62+Dati!$M$63+Dati!$M$64)</f>
        <v>1</v>
      </c>
      <c r="E36" s="91"/>
      <c r="F36" s="91"/>
      <c r="I36" s="117"/>
      <c r="J36" s="117"/>
    </row>
    <row r="37" spans="1:6" s="95" customFormat="1" ht="18.75" customHeight="1">
      <c r="A37" s="102">
        <v>8</v>
      </c>
      <c r="B37" s="118" t="s">
        <v>491</v>
      </c>
      <c r="C37" s="119"/>
      <c r="D37" s="115"/>
      <c r="E37" s="115"/>
      <c r="F37" s="116"/>
    </row>
    <row r="38" spans="1:6" ht="30" customHeight="1">
      <c r="A38" s="50" t="s">
        <v>614</v>
      </c>
      <c r="B38" s="50" t="s">
        <v>492</v>
      </c>
      <c r="C38" s="88" t="s">
        <v>799</v>
      </c>
      <c r="D38" s="91">
        <f>IF(Dati!$R$69&gt;0,IF(Dati!$D$237=3,(Dati!D66/Dati!$R$69),""),"")</f>
        <v>0.1084100148618186</v>
      </c>
      <c r="E38" s="91">
        <f>IF(Dati!$R$69&gt;0,IF(Dati!$D$237=3,(Dati!E66/Dati!$R$69),""),"")</f>
        <v>0.11486091177126248</v>
      </c>
      <c r="F38" s="91">
        <f>IF(Dati!$R$69&gt;0,IF(Dati!$D$237=3,(Dati!F66/Dati!$R$69),""),"")</f>
        <v>0.12146021320123489</v>
      </c>
    </row>
    <row r="39" spans="1:6" ht="135.75" customHeight="1">
      <c r="A39" s="50" t="s">
        <v>615</v>
      </c>
      <c r="B39" s="50" t="s">
        <v>493</v>
      </c>
      <c r="C39" s="51" t="s">
        <v>539</v>
      </c>
      <c r="D39" s="91">
        <f>(Dati!D50-Dati!D52-Dati!D51+Dati!D66-(Dati!D19+Dati!D20+Dati!D21))/(Dati!D14+Dati!D17+Dati!D18)</f>
        <v>0.03188099948894154</v>
      </c>
      <c r="E39" s="91">
        <f>(Dati!E50-Dati!E52-Dati!E51+Dati!E66-(Dati!E19+Dati!E20+Dati!E21))/(Dati!E14+Dati!E17+Dati!E18)</f>
        <v>0.03477121635026323</v>
      </c>
      <c r="F39" s="91">
        <f>(Dati!F50-Dati!F52-Dati!F51+Dati!F66-(Dati!F19+Dati!F20+Dati!F21))/(Dati!F14+Dati!F17+Dati!F18)</f>
        <v>0.0366701164431906</v>
      </c>
    </row>
    <row r="40" spans="1:6" ht="61.5" customHeight="1">
      <c r="A40" s="50" t="s">
        <v>616</v>
      </c>
      <c r="B40" s="50" t="s">
        <v>494</v>
      </c>
      <c r="C40" s="51" t="s">
        <v>540</v>
      </c>
      <c r="D40" s="92">
        <f>IF(Dati!$D$237=3,(Dati!$R$69/Dati!$P$71),"")</f>
        <v>161.43392823141707</v>
      </c>
      <c r="E40" s="92">
        <f>IF(Dati!$D$237=3,(Dati!$S$69/Dati!$P$71),"")</f>
        <v>144.5995444891981</v>
      </c>
      <c r="F40" s="92">
        <f>IF(Dati!$D$237=3,(Dati!$T$69/Dati!$P$71),"")</f>
        <v>124.44351666056389</v>
      </c>
    </row>
    <row r="41" spans="1:6" s="95" customFormat="1" ht="18.75" customHeight="1">
      <c r="A41" s="102">
        <v>9</v>
      </c>
      <c r="B41" s="118" t="s">
        <v>495</v>
      </c>
      <c r="C41" s="119"/>
      <c r="D41" s="115"/>
      <c r="E41" s="115"/>
      <c r="F41" s="116"/>
    </row>
    <row r="42" spans="1:6" ht="36.75" customHeight="1">
      <c r="A42" s="50" t="s">
        <v>617</v>
      </c>
      <c r="B42" s="51" t="s">
        <v>496</v>
      </c>
      <c r="C42" s="51" t="s">
        <v>541</v>
      </c>
      <c r="D42" s="91">
        <f>IF(Dati!$D$9&gt;0,(Dati!$D$5/Dati!$D$9),0)</f>
        <v>0.1090045116596757</v>
      </c>
      <c r="E42" s="91"/>
      <c r="F42" s="91"/>
    </row>
    <row r="43" spans="1:6" ht="31.5" customHeight="1">
      <c r="A43" s="50" t="s">
        <v>618</v>
      </c>
      <c r="B43" s="51" t="s">
        <v>497</v>
      </c>
      <c r="C43" s="51" t="s">
        <v>542</v>
      </c>
      <c r="D43" s="91">
        <f>IF(Dati!$D$9&gt;0,(Dati!$D$6/Dati!$D$9),0)</f>
        <v>0.0881500319498811</v>
      </c>
      <c r="E43" s="91"/>
      <c r="F43" s="91"/>
    </row>
    <row r="44" spans="1:6" ht="37.5" customHeight="1">
      <c r="A44" s="50" t="s">
        <v>619</v>
      </c>
      <c r="B44" s="50" t="s">
        <v>498</v>
      </c>
      <c r="C44" s="51" t="s">
        <v>543</v>
      </c>
      <c r="D44" s="91">
        <f>IF(Dati!$D$9&gt;0,(Dati!$D$7/Dati!$D$9),0)</f>
        <v>0.6396591436504122</v>
      </c>
      <c r="E44" s="91"/>
      <c r="F44" s="91"/>
    </row>
    <row r="45" spans="1:6" ht="33.75" customHeight="1">
      <c r="A45" s="50" t="s">
        <v>620</v>
      </c>
      <c r="B45" s="50" t="s">
        <v>499</v>
      </c>
      <c r="C45" s="51" t="s">
        <v>544</v>
      </c>
      <c r="D45" s="91">
        <f>IF(Dati!$D$9&gt;0,(Dati!$D$8/Dati!$D$9),0)</f>
        <v>0.16318631274003098</v>
      </c>
      <c r="E45" s="91"/>
      <c r="F45" s="91"/>
    </row>
    <row r="46" spans="1:6" s="95" customFormat="1" ht="18.75" customHeight="1">
      <c r="A46" s="102">
        <v>10</v>
      </c>
      <c r="B46" s="118" t="s">
        <v>500</v>
      </c>
      <c r="C46" s="119"/>
      <c r="D46" s="115"/>
      <c r="E46" s="115"/>
      <c r="F46" s="116"/>
    </row>
    <row r="47" spans="1:6" ht="59.25" customHeight="1">
      <c r="A47" s="50" t="s">
        <v>621</v>
      </c>
      <c r="B47" s="51" t="s">
        <v>501</v>
      </c>
      <c r="C47" s="88" t="s">
        <v>800</v>
      </c>
      <c r="D47" s="91">
        <f>IF(Dati!$D$70&lt;0,(Dati!D31/Dati!$D$70),"")</f>
      </c>
      <c r="E47" s="91">
        <f>IF(Dati!$D$70&lt;0,(Dati!E31/Dati!$D$70),"")</f>
      </c>
      <c r="F47" s="91">
        <f>IF(Dati!$D$70&lt;0,(Dati!F31/Dati!$D$70),"")</f>
      </c>
    </row>
    <row r="48" spans="1:6" ht="60" customHeight="1">
      <c r="A48" s="50" t="s">
        <v>622</v>
      </c>
      <c r="B48" s="50" t="s">
        <v>502</v>
      </c>
      <c r="C48" s="88" t="s">
        <v>801</v>
      </c>
      <c r="D48" s="91">
        <f>IF(Dati!$D$237=3,(IF(Dati!D70&lt;0,(Dati!$D$70/Dati!U72),"")),"")</f>
      </c>
      <c r="E48" s="91"/>
      <c r="F48" s="91"/>
    </row>
    <row r="49" spans="1:6" ht="47.25" customHeight="1">
      <c r="A49" s="89" t="s">
        <v>623</v>
      </c>
      <c r="B49" s="89" t="s">
        <v>503</v>
      </c>
      <c r="C49" s="90" t="s">
        <v>802</v>
      </c>
      <c r="D49" s="94">
        <f>Dati!D31/(Dati!D14+Dati!D17+Dati!D18)</f>
        <v>0</v>
      </c>
      <c r="E49" s="94">
        <f>Dati!E31/(Dati!E14+Dati!E17+Dati!E18)</f>
        <v>0</v>
      </c>
      <c r="F49" s="94">
        <f>Dati!F31/(Dati!F14+Dati!F17+Dati!F18)</f>
        <v>0</v>
      </c>
    </row>
    <row r="50" spans="1:6" s="95" customFormat="1" ht="18.75" customHeight="1">
      <c r="A50" s="102">
        <v>11</v>
      </c>
      <c r="B50" s="118" t="s">
        <v>504</v>
      </c>
      <c r="C50" s="119"/>
      <c r="D50" s="115"/>
      <c r="E50" s="115"/>
      <c r="F50" s="116"/>
    </row>
    <row r="51" spans="1:6" ht="126.75" customHeight="1">
      <c r="A51" s="50" t="s">
        <v>626</v>
      </c>
      <c r="B51" s="50" t="s">
        <v>505</v>
      </c>
      <c r="C51" s="51" t="s">
        <v>545</v>
      </c>
      <c r="D51" s="91">
        <f>IF((Dati!D10+Dati!D12)&gt;0,((Dati!D10+Dati!D12-Dati!D13)/(Dati!D10+Dati!D12)),0)</f>
        <v>1</v>
      </c>
      <c r="E51" s="91">
        <f>IF((Dati!E10+Dati!E12)&gt;0,((Dati!E10+Dati!E12-Dati!E13)/(Dati!E10+Dati!E12)),0)</f>
        <v>0</v>
      </c>
      <c r="F51" s="91">
        <f>IF((Dati!F10+Dati!F12)&gt;0,((Dati!F10+Dati!F12-Dati!F13)/(Dati!F10+Dati!F12)),0)</f>
        <v>0</v>
      </c>
    </row>
    <row r="52" spans="1:6" s="95" customFormat="1" ht="18.75" customHeight="1">
      <c r="A52" s="102">
        <v>12</v>
      </c>
      <c r="B52" s="118" t="s">
        <v>506</v>
      </c>
      <c r="C52" s="119"/>
      <c r="D52" s="115"/>
      <c r="E52" s="115"/>
      <c r="F52" s="116"/>
    </row>
    <row r="53" spans="1:6" ht="85.5" customHeight="1">
      <c r="A53" s="50" t="s">
        <v>624</v>
      </c>
      <c r="B53" s="50" t="s">
        <v>507</v>
      </c>
      <c r="C53" s="88" t="s">
        <v>817</v>
      </c>
      <c r="D53" s="91">
        <f>(Dati!D26-Dati!D27)/(Dati!D14+Dati!D17+Dati!D18)</f>
        <v>0.42184654458589976</v>
      </c>
      <c r="E53" s="91">
        <f>(Dati!E26-Dati!E27)/(Dati!E14+Dati!E17+Dati!E18)</f>
        <v>0.2511001780620381</v>
      </c>
      <c r="F53" s="91">
        <f>(Dati!F26-Dati!F27)/(Dati!F14+Dati!F17+Dati!F18)</f>
        <v>0.25071698313206287</v>
      </c>
    </row>
    <row r="54" spans="1:6" ht="74.25" customHeight="1">
      <c r="A54" s="50" t="s">
        <v>625</v>
      </c>
      <c r="B54" s="50" t="s">
        <v>508</v>
      </c>
      <c r="C54" s="51" t="s">
        <v>546</v>
      </c>
      <c r="D54" s="91">
        <f>(Dati!D67-Dati!D68)/Dati!D33</f>
        <v>0.4367205298964359</v>
      </c>
      <c r="E54" s="91">
        <f>(Dati!E67-Dati!E68)/Dati!E33</f>
        <v>0.26056280715865493</v>
      </c>
      <c r="F54" s="91">
        <f>(Dati!F67-Dati!F68)/Dati!F33</f>
        <v>0.26061141464329357</v>
      </c>
    </row>
    <row r="56" spans="1:6" ht="38.25" customHeight="1">
      <c r="A56" s="143" t="s">
        <v>509</v>
      </c>
      <c r="B56" s="143"/>
      <c r="C56" s="143"/>
      <c r="D56" s="143"/>
      <c r="E56" s="143"/>
      <c r="F56" s="143"/>
    </row>
    <row r="57" spans="1:6" ht="39.75" customHeight="1">
      <c r="A57" s="143" t="s">
        <v>510</v>
      </c>
      <c r="B57" s="143"/>
      <c r="C57" s="143"/>
      <c r="D57" s="143"/>
      <c r="E57" s="143"/>
      <c r="F57" s="143"/>
    </row>
    <row r="58" spans="1:6" ht="30.75" customHeight="1">
      <c r="A58" s="133" t="s">
        <v>511</v>
      </c>
      <c r="B58" s="133"/>
      <c r="C58" s="133"/>
      <c r="D58" s="133"/>
      <c r="E58" s="133"/>
      <c r="F58" s="133"/>
    </row>
    <row r="59" spans="1:6" ht="51" customHeight="1">
      <c r="A59" s="133" t="s">
        <v>512</v>
      </c>
      <c r="B59" s="133"/>
      <c r="C59" s="133"/>
      <c r="D59" s="133"/>
      <c r="E59" s="133"/>
      <c r="F59" s="133"/>
    </row>
    <row r="60" spans="1:6" ht="12.75" customHeight="1">
      <c r="A60" s="133" t="s">
        <v>513</v>
      </c>
      <c r="B60" s="133"/>
      <c r="C60" s="133"/>
      <c r="D60" s="133"/>
      <c r="E60" s="133"/>
      <c r="F60" s="133"/>
    </row>
    <row r="61" spans="1:6" ht="27" customHeight="1">
      <c r="A61" s="133" t="s">
        <v>514</v>
      </c>
      <c r="B61" s="133"/>
      <c r="C61" s="133"/>
      <c r="D61" s="133"/>
      <c r="E61" s="133"/>
      <c r="F61" s="133"/>
    </row>
    <row r="62" spans="1:6" ht="27" customHeight="1">
      <c r="A62" s="133" t="s">
        <v>515</v>
      </c>
      <c r="B62" s="133"/>
      <c r="C62" s="133"/>
      <c r="D62" s="133"/>
      <c r="E62" s="133"/>
      <c r="F62" s="133"/>
    </row>
    <row r="63" spans="1:6" ht="27" customHeight="1">
      <c r="A63" s="133" t="s">
        <v>516</v>
      </c>
      <c r="B63" s="133"/>
      <c r="C63" s="133"/>
      <c r="D63" s="133"/>
      <c r="E63" s="133"/>
      <c r="F63" s="133"/>
    </row>
    <row r="64" spans="1:6" ht="26.25" customHeight="1">
      <c r="A64" s="133" t="s">
        <v>517</v>
      </c>
      <c r="B64" s="133"/>
      <c r="C64" s="133"/>
      <c r="D64" s="133"/>
      <c r="E64" s="133"/>
      <c r="F64" s="133"/>
    </row>
    <row r="65" spans="1:6" ht="27" customHeight="1">
      <c r="A65" s="133" t="s">
        <v>518</v>
      </c>
      <c r="B65" s="133"/>
      <c r="C65" s="133"/>
      <c r="D65" s="133"/>
      <c r="E65" s="133"/>
      <c r="F65" s="133"/>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H9" sqref="H9"/>
    </sheetView>
  </sheetViews>
  <sheetFormatPr defaultColWidth="9.140625" defaultRowHeight="15"/>
  <cols>
    <col min="1" max="1" width="12.421875" style="34" customWidth="1"/>
    <col min="2" max="2" width="62.140625" style="48" customWidth="1"/>
    <col min="3" max="6" width="12.57421875" style="49" customWidth="1"/>
    <col min="7" max="7" width="14.28125" style="49" customWidth="1"/>
    <col min="8" max="8" width="12.57421875" style="49" customWidth="1"/>
  </cols>
  <sheetData>
    <row r="1" spans="1:6" s="34" customFormat="1" ht="12.75" customHeight="1">
      <c r="A1" s="32" t="str">
        <f>CONCATENATE("Denominazione Ente: ",Dati!D230," - ",Dati!D231)</f>
        <v>Denominazione Ente: COMUNE DI ALZANO LOMBARDO - PROVINCIA DI BERGAMO</v>
      </c>
      <c r="B1" s="33"/>
      <c r="C1" s="33"/>
      <c r="D1" s="33"/>
      <c r="E1" s="33"/>
      <c r="F1" s="33"/>
    </row>
    <row r="2" spans="1:7" s="34" customFormat="1" ht="12.75" customHeight="1">
      <c r="A2" s="32"/>
      <c r="B2" s="35"/>
      <c r="D2" s="36"/>
      <c r="F2" s="38"/>
      <c r="G2" s="37" t="s">
        <v>628</v>
      </c>
    </row>
    <row r="3" spans="1:8" s="34" customFormat="1" ht="18" customHeight="1">
      <c r="A3" s="144" t="s">
        <v>445</v>
      </c>
      <c r="B3" s="144"/>
      <c r="C3" s="144"/>
      <c r="D3" s="144"/>
      <c r="E3" s="144"/>
      <c r="F3" s="144"/>
      <c r="G3" s="150"/>
      <c r="H3" s="150"/>
    </row>
    <row r="4" spans="1:8" s="34" customFormat="1" ht="15" customHeight="1">
      <c r="A4" s="151" t="str">
        <f>CONCATENATE("                                                Bilancio di Previsione esercizi ",Dati!D232,",",Dati!D233," e ",Dati!D234)</f>
        <v>                                                Bilancio di Previsione esercizi 2019,2020 e 2021</v>
      </c>
      <c r="B4" s="152"/>
      <c r="C4" s="152"/>
      <c r="D4" s="153"/>
      <c r="E4" s="153"/>
      <c r="F4" s="162" t="str">
        <f>CONCATENATE("approvato il ")</f>
        <v>approvato il </v>
      </c>
      <c r="G4" s="163"/>
      <c r="H4" s="53">
        <f>IF(Dati!$D$235&lt;&gt;"",Dati!$D$235,"")</f>
      </c>
    </row>
    <row r="5" spans="1:8" s="34" customFormat="1" ht="15" customHeight="1">
      <c r="A5" s="154" t="s">
        <v>629</v>
      </c>
      <c r="B5" s="154"/>
      <c r="C5" s="154"/>
      <c r="D5" s="154"/>
      <c r="E5" s="154"/>
      <c r="F5" s="154"/>
      <c r="G5" s="155"/>
      <c r="H5" s="155"/>
    </row>
    <row r="6" spans="1:8" ht="15" customHeight="1">
      <c r="A6" s="158" t="s">
        <v>548</v>
      </c>
      <c r="B6" s="159" t="s">
        <v>549</v>
      </c>
      <c r="C6" s="160" t="s">
        <v>550</v>
      </c>
      <c r="D6" s="160"/>
      <c r="E6" s="160"/>
      <c r="F6" s="160"/>
      <c r="G6" s="160" t="s">
        <v>551</v>
      </c>
      <c r="H6" s="160"/>
    </row>
    <row r="7" spans="1:8" ht="90" customHeight="1">
      <c r="A7" s="158" t="s">
        <v>548</v>
      </c>
      <c r="B7" s="159" t="s">
        <v>549</v>
      </c>
      <c r="C7" s="46" t="s">
        <v>552</v>
      </c>
      <c r="D7" s="46" t="s">
        <v>553</v>
      </c>
      <c r="E7" s="46" t="s">
        <v>554</v>
      </c>
      <c r="F7" s="86" t="s">
        <v>555</v>
      </c>
      <c r="G7" s="46" t="s">
        <v>556</v>
      </c>
      <c r="H7" s="86" t="s">
        <v>557</v>
      </c>
    </row>
    <row r="8" spans="1:8" s="57" customFormat="1" ht="27" customHeight="1">
      <c r="A8" s="55" t="s">
        <v>661</v>
      </c>
      <c r="B8" s="56" t="s">
        <v>662</v>
      </c>
      <c r="C8" s="54"/>
      <c r="D8" s="54"/>
      <c r="E8" s="54"/>
      <c r="F8" s="54"/>
      <c r="G8" s="54"/>
      <c r="H8" s="54"/>
    </row>
    <row r="9" spans="1:8" s="57" customFormat="1" ht="27" customHeight="1">
      <c r="A9" s="58" t="s">
        <v>663</v>
      </c>
      <c r="B9" s="59" t="s">
        <v>630</v>
      </c>
      <c r="C9" s="54">
        <f>IF(Dati!$D$116&gt;0,(Dati!D78/Dati!$D$116),0)</f>
        <v>0.2237354397877782</v>
      </c>
      <c r="D9" s="54">
        <f>IF(Dati!$E$116&gt;0,(Dati!E78/Dati!$E$116),0)</f>
        <v>0.2896059382048796</v>
      </c>
      <c r="E9" s="54">
        <f>IF(Dati!$F$116&gt;0,(Dati!F78/Dati!$F$116),0)</f>
        <v>0.312229210572792</v>
      </c>
      <c r="F9" s="54">
        <f>IF(Dati!$D$237=3,(Dati!I78+Dati!J78+Dati!Y78)/(Dati!$D$237),(Dati!J78+Dati!Y78)/Dati!$D$237)/IF(Dati!$D$237=3,(Dati!$I$116+Dati!$J$116+Dati!$Y$116)/(Dati!$D$237),(Dati!$J$116+Dati!$Y$116)/Dati!$D$237)</f>
        <v>0.34096861740406725</v>
      </c>
      <c r="G9" s="54">
        <f>IF((Dati!D78+Dati!H78)&gt;0,(Dati!G78/(Dati!D78+Dati!H78)),0)</f>
        <v>0.7615881778646859</v>
      </c>
      <c r="H9" s="83">
        <f>IF(((IF(Dati!$D$237=3,(Dati!I78+Dati!U78+Dati!J78+Dati!V78+Dati!P78),(Dati!J78+Dati!V78+Dati!P78))/Dati!$D$237)&gt;0),(IF(Dati!$D$237=3,(Dati!L78+Dati!M78+Dati!T78),(Dati!M78+Dati!T78))/Dati!$D$237)/(IF(Dati!$D$237=3,(Dati!I78+Dati!U78+Dati!J78+Dati!V78+Dati!P78),(Dati!J78+Dati!V78+Dati!P78))/Dati!$D$237),0)</f>
        <v>0.674629437697026</v>
      </c>
    </row>
    <row r="10" spans="1:8" s="57" customFormat="1" ht="27" customHeight="1">
      <c r="A10" s="58" t="s">
        <v>664</v>
      </c>
      <c r="B10" s="59" t="s">
        <v>631</v>
      </c>
      <c r="C10" s="54">
        <f>IF(Dati!$D$116&gt;0,(Dati!D79/Dati!$D$116),0)</f>
        <v>0</v>
      </c>
      <c r="D10" s="54">
        <f>IF(Dati!$E$116&gt;0,(Dati!E79/Dati!$E$116),0)</f>
        <v>0</v>
      </c>
      <c r="E10" s="54">
        <f>IF(Dati!$F$116&gt;0,(Dati!F79/Dati!$F$116),0)</f>
        <v>0</v>
      </c>
      <c r="F10" s="54">
        <f>IF(Dati!$D$237=3,(Dati!I79+Dati!J79+Dati!Y79)/(Dati!$D$237),(Dati!J79+Dati!Y79)/Dati!$D$237)/IF(Dati!$D$237=3,(Dati!$I$116+Dati!$J$116+Dati!$Y$116)/(Dati!$D$237),(Dati!$J$116+Dati!$Y$116)/Dati!$D$237)</f>
        <v>0</v>
      </c>
      <c r="G10" s="54">
        <f>IF((Dati!D79+Dati!H79)&gt;0,(Dati!G79/(Dati!D79+Dati!H79)),0)</f>
        <v>0</v>
      </c>
      <c r="H10" s="83">
        <f>IF(((IF(Dati!$D$237=3,(Dati!I79+Dati!U79+Dati!J79+Dati!V79+Dati!P79),(Dati!J79+Dati!V79+Dati!P79))/Dati!$D$237)&gt;0),(IF(Dati!$D$237=3,(Dati!L79+Dati!M79+Dati!T79),(Dati!M79+Dati!T79))/Dati!$D$237)/(IF(Dati!$D$237=3,(Dati!I79+Dati!U79+Dati!J79+Dati!V79+Dati!P79),(Dati!J79+Dati!V79+Dati!P79))/Dati!$D$237),0)</f>
        <v>0</v>
      </c>
    </row>
    <row r="11" spans="1:8" s="57" customFormat="1" ht="27" customHeight="1">
      <c r="A11" s="58" t="s">
        <v>665</v>
      </c>
      <c r="B11" s="59" t="s">
        <v>632</v>
      </c>
      <c r="C11" s="54">
        <f>IF(Dati!$D$116&gt;0,(Dati!D80/Dati!$D$116),0)</f>
        <v>0.08461176687517473</v>
      </c>
      <c r="D11" s="54">
        <f>IF(Dati!$E$116&gt;0,(Dati!E80/Dati!$E$116),0)</f>
        <v>0.10956936680914026</v>
      </c>
      <c r="E11" s="54">
        <f>IF(Dati!$F$116&gt;0,(Dati!F80/Dati!$F$116),0)</f>
        <v>0.1180100377092283</v>
      </c>
      <c r="F11" s="54">
        <f>IF(Dati!$D$237=3,(Dati!I80+Dati!J80+Dati!Y80)/(Dati!$D$237),(Dati!J80+Dati!Y80)/Dati!$D$237)/IF(Dati!$D$237=3,(Dati!$I$116+Dati!$J$116+Dati!$Y$116)/(Dati!$D$237),(Dati!$J$116+Dati!$Y$116)/Dati!$D$237)</f>
        <v>0.12923607946269036</v>
      </c>
      <c r="G11" s="54">
        <f>IF((Dati!D80+Dati!H80)&gt;0,(Dati!G80/(Dati!D80+Dati!H80)),0)</f>
        <v>1</v>
      </c>
      <c r="H11" s="83">
        <f>IF(((IF(Dati!$D$237=3,(Dati!I80+Dati!U80+Dati!J80+Dati!V80+Dati!P80),(Dati!J80+Dati!V80+Dati!P80))/Dati!$D$237)&gt;0),(IF(Dati!$D$237=3,(Dati!L80+Dati!M80+Dati!T80),(Dati!M80+Dati!T80))/Dati!$D$237)/(IF(Dati!$D$237=3,(Dati!I80+Dati!U80+Dati!J80+Dati!V80+Dati!P80),(Dati!J80+Dati!V80+Dati!P80))/Dati!$D$237),0)</f>
        <v>0.9643093168785599</v>
      </c>
    </row>
    <row r="12" spans="1:8" s="57" customFormat="1" ht="27" customHeight="1">
      <c r="A12" s="58" t="s">
        <v>666</v>
      </c>
      <c r="B12" s="59" t="s">
        <v>633</v>
      </c>
      <c r="C12" s="54">
        <f>IF(Dati!$D$116&gt;0,(Dati!D81/Dati!$D$116),0)</f>
        <v>0</v>
      </c>
      <c r="D12" s="54">
        <f>IF(Dati!$E$116&gt;0,(Dati!E81/Dati!$E$116),0)</f>
        <v>0</v>
      </c>
      <c r="E12" s="54">
        <f>IF(Dati!$F$116&gt;0,(Dati!F81/Dati!$F$116),0)</f>
        <v>0</v>
      </c>
      <c r="F12" s="54">
        <f>IF(Dati!$D$237=3,(Dati!I81+Dati!J81+Dati!Y81)/(Dati!$D$237),(Dati!J81+Dati!Y81)/Dati!$D$237)/IF(Dati!$D$237=3,(Dati!$I$116+Dati!$J$116+Dati!$Y$116)/(Dati!$D$237),(Dati!$J$116+Dati!$Y$116)/Dati!$D$237)</f>
        <v>0</v>
      </c>
      <c r="G12" s="54">
        <f>IF((Dati!D81+Dati!H81)&gt;0,(Dati!G81/(Dati!D81+Dati!H81)),0)</f>
        <v>0</v>
      </c>
      <c r="H12" s="83">
        <f>IF(((IF(Dati!$D$237=3,(Dati!I81+Dati!U81+Dati!J81+Dati!V81+Dati!P81),(Dati!J81+Dati!V81+Dati!P81))/Dati!$D$237)&gt;0),(IF(Dati!$D$237=3,(Dati!L81+Dati!M81+Dati!T81),(Dati!M81+Dati!T81))/Dati!$D$237)/(IF(Dati!$D$237=3,(Dati!I81+Dati!U81+Dati!J81+Dati!V81+Dati!P81),(Dati!J81+Dati!V81+Dati!P81))/Dati!$D$237),0)</f>
        <v>0</v>
      </c>
    </row>
    <row r="13" spans="1:8" s="57" customFormat="1" ht="27" customHeight="1">
      <c r="A13" s="60" t="s">
        <v>667</v>
      </c>
      <c r="B13" s="61" t="s">
        <v>668</v>
      </c>
      <c r="C13" s="54">
        <f>IF(Dati!$D$116&gt;0,(Dati!D82/Dati!$D$116),0)</f>
        <v>0.30834720666295296</v>
      </c>
      <c r="D13" s="54">
        <f>IF(Dati!$E$116&gt;0,(Dati!E82/Dati!$E$116),0)</f>
        <v>0.3991753050140199</v>
      </c>
      <c r="E13" s="54">
        <f>IF(Dati!$F$116&gt;0,(Dati!F82/Dati!$F$116),0)</f>
        <v>0.4302392482820203</v>
      </c>
      <c r="F13" s="54">
        <f>IF(Dati!$D$237=3,(Dati!I82+Dati!J82+Dati!Y82)/(Dati!$D$237),(Dati!J82+Dati!Y82)/Dati!$D$237)/IF(Dati!$D$237=3,(Dati!$I$116+Dati!$J$116+Dati!$Y$116)/(Dati!$D$237),(Dati!$J$116+Dati!$Y$116)/Dati!$D$237)</f>
        <v>0.47020469686675764</v>
      </c>
      <c r="G13" s="54">
        <f>IF((Dati!D82+Dati!H82)&gt;0,(Dati!G82/(Dati!D82+Dati!H82)),0)</f>
        <v>0.8103293296175235</v>
      </c>
      <c r="H13" s="83">
        <f>IF(((IF(Dati!$D$237=3,(Dati!I82+Dati!U82+Dati!J82+Dati!V82+Dati!P82),(Dati!J82+Dati!V82+Dati!P82))/Dati!$D$237)&gt;0),(IF(Dati!$D$237=3,(Dati!L82+Dati!M82+Dati!T82),(Dati!M82+Dati!T82))/Dati!$D$237)/(IF(Dati!$D$237=3,(Dati!I82+Dati!U82+Dati!J82+Dati!V82+Dati!P82),(Dati!J82+Dati!V82+Dati!P82))/Dati!$D$237),0)</f>
        <v>0.7358744628760526</v>
      </c>
    </row>
    <row r="14" spans="1:8" s="57" customFormat="1" ht="27" customHeight="1">
      <c r="A14" s="55" t="s">
        <v>669</v>
      </c>
      <c r="B14" s="61" t="s">
        <v>670</v>
      </c>
      <c r="C14" s="54"/>
      <c r="D14" s="54"/>
      <c r="E14" s="54"/>
      <c r="F14" s="54"/>
      <c r="G14" s="54"/>
      <c r="H14" s="83"/>
    </row>
    <row r="15" spans="1:8" s="57" customFormat="1" ht="27" customHeight="1">
      <c r="A15" s="58" t="s">
        <v>671</v>
      </c>
      <c r="B15" s="59" t="s">
        <v>634</v>
      </c>
      <c r="C15" s="54">
        <f>IF(Dati!$D$116&gt;0,(Dati!D83/Dati!$D$116),0)</f>
        <v>0.015261105894558542</v>
      </c>
      <c r="D15" s="54">
        <f>IF(Dati!$E$116&gt;0,(Dati!E83/Dati!$E$116),0)</f>
        <v>0.02049986068395988</v>
      </c>
      <c r="E15" s="54">
        <f>IF(Dati!$F$116&gt;0,(Dati!F83/Dati!$F$116),0)</f>
        <v>0.022502800891619722</v>
      </c>
      <c r="F15" s="54">
        <f>IF(Dati!$D$237=3,(Dati!I83+Dati!J83+Dati!Y83)/(Dati!$D$237),(Dati!J83+Dati!Y83)/Dati!$D$237)/IF(Dati!$D$237=3,(Dati!$I$116+Dati!$J$116+Dati!$Y$116)/(Dati!$D$237),(Dati!$J$116+Dati!$Y$116)/Dati!$D$237)</f>
        <v>0.017896690705555628</v>
      </c>
      <c r="G15" s="54">
        <f>IF((Dati!D83+Dati!H83)&gt;0,(Dati!G83/(Dati!D83+Dati!H83)),0)</f>
        <v>1</v>
      </c>
      <c r="H15" s="83">
        <f>IF(((IF(Dati!$D$237=3,(Dati!I83+Dati!U83+Dati!J83+Dati!V83+Dati!P83),(Dati!J83+Dati!V83+Dati!P83))/Dati!$D$237)&gt;0),(IF(Dati!$D$237=3,(Dati!L83+Dati!M83+Dati!T83),(Dati!M83+Dati!T83))/Dati!$D$237)/(IF(Dati!$D$237=3,(Dati!I83+Dati!U83+Dati!J83+Dati!V83+Dati!P83),(Dati!J83+Dati!V83+Dati!P83))/Dati!$D$237),0)</f>
        <v>0.95264864207714</v>
      </c>
    </row>
    <row r="16" spans="1:8" s="57" customFormat="1" ht="27" customHeight="1">
      <c r="A16" s="58" t="s">
        <v>672</v>
      </c>
      <c r="B16" s="59" t="s">
        <v>635</v>
      </c>
      <c r="C16" s="54">
        <f>IF(Dati!$D$116&gt;0,(Dati!D84/Dati!$D$116),0)</f>
        <v>0</v>
      </c>
      <c r="D16" s="54">
        <f>IF(Dati!$E$116&gt;0,(Dati!E84/Dati!$E$116),0)</f>
        <v>0</v>
      </c>
      <c r="E16" s="54">
        <f>IF(Dati!$F$116&gt;0,(Dati!F84/Dati!$F$116),0)</f>
        <v>0</v>
      </c>
      <c r="F16" s="54">
        <f>IF(Dati!$D$237=3,(Dati!I84+Dati!J84+Dati!Y84)/(Dati!$D$237),(Dati!J84+Dati!Y84)/Dati!$D$237)/IF(Dati!$D$237=3,(Dati!$I$116+Dati!$J$116+Dati!$Y$116)/(Dati!$D$237),(Dati!$J$116+Dati!$Y$116)/Dati!$D$237)</f>
        <v>0</v>
      </c>
      <c r="G16" s="54">
        <f>IF((Dati!D84+Dati!H84)&gt;0,(Dati!G84/(Dati!D84+Dati!H84)),0)</f>
        <v>0</v>
      </c>
      <c r="H16" s="83">
        <f>IF(((IF(Dati!$D$237=3,(Dati!I84+Dati!U84+Dati!J84+Dati!V84+Dati!P84),(Dati!J84+Dati!V84+Dati!P84))/Dati!$D$237)&gt;0),(IF(Dati!$D$237=3,(Dati!L84+Dati!M84+Dati!T84),(Dati!M84+Dati!T84))/Dati!$D$237)/(IF(Dati!$D$237=3,(Dati!I84+Dati!U84+Dati!J84+Dati!V84+Dati!P84),(Dati!J84+Dati!V84+Dati!P84))/Dati!$D$237),0)</f>
        <v>0</v>
      </c>
    </row>
    <row r="17" spans="1:8" s="57" customFormat="1" ht="27" customHeight="1">
      <c r="A17" s="58" t="s">
        <v>673</v>
      </c>
      <c r="B17" s="59" t="s">
        <v>636</v>
      </c>
      <c r="C17" s="54">
        <f>IF(Dati!$D$116&gt;0,(Dati!D85/Dati!$D$116),0)</f>
        <v>0.00789050247342854</v>
      </c>
      <c r="D17" s="54">
        <f>IF(Dati!$E$116&gt;0,(Dati!E85/Dati!$E$116),0)</f>
        <v>0.008771286819055459</v>
      </c>
      <c r="E17" s="54">
        <f>IF(Dati!$F$116&gt;0,(Dati!F85/Dati!$F$116),0)</f>
        <v>0.009658849690243497</v>
      </c>
      <c r="F17" s="54">
        <f>IF(Dati!$D$237=3,(Dati!I85+Dati!J85+Dati!Y85)/(Dati!$D$237),(Dati!J85+Dati!Y85)/Dati!$D$237)/IF(Dati!$D$237=3,(Dati!$I$116+Dati!$J$116+Dati!$Y$116)/(Dati!$D$237),(Dati!$J$116+Dati!$Y$116)/Dati!$D$237)</f>
        <v>0.02126270368220169</v>
      </c>
      <c r="G17" s="54">
        <f>IF((Dati!D85+Dati!H85)&gt;0,(Dati!G85/(Dati!D85+Dati!H85)),0)</f>
        <v>1</v>
      </c>
      <c r="H17" s="83">
        <f>IF(((IF(Dati!$D$237=3,(Dati!I85+Dati!U85+Dati!J85+Dati!V85+Dati!P85),(Dati!J85+Dati!V85+Dati!P85))/Dati!$D$237)&gt;0),(IF(Dati!$D$237=3,(Dati!L85+Dati!M85+Dati!T85),(Dati!M85+Dati!T85))/Dati!$D$237)/(IF(Dati!$D$237=3,(Dati!I85+Dati!U85+Dati!J85+Dati!V85+Dati!P85),(Dati!J85+Dati!V85+Dati!P85))/Dati!$D$237),0)</f>
        <v>0.9964879174892156</v>
      </c>
    </row>
    <row r="18" spans="1:8" s="57" customFormat="1" ht="27" customHeight="1">
      <c r="A18" s="58" t="s">
        <v>674</v>
      </c>
      <c r="B18" s="59" t="s">
        <v>637</v>
      </c>
      <c r="C18" s="54">
        <f>IF(Dati!$D$116&gt;0,(Dati!D86/Dati!$D$116),0)</f>
        <v>0.0006461427453299662</v>
      </c>
      <c r="D18" s="54">
        <f>IF(Dati!$E$116&gt;0,(Dati!E86/Dati!$E$116),0)</f>
        <v>0</v>
      </c>
      <c r="E18" s="54">
        <f>IF(Dati!$F$116&gt;0,(Dati!F86/Dati!$F$116),0)</f>
        <v>0</v>
      </c>
      <c r="F18" s="54">
        <f>IF(Dati!$D$237=3,(Dati!I86+Dati!J86+Dati!Y86)/(Dati!$D$237),(Dati!J86+Dati!Y86)/Dati!$D$237)/IF(Dati!$D$237=3,(Dati!$I$116+Dati!$J$116+Dati!$Y$116)/(Dati!$D$237),(Dati!$J$116+Dati!$Y$116)/Dati!$D$237)</f>
        <v>0.00029643280812323284</v>
      </c>
      <c r="G18" s="54">
        <f>IF((Dati!D86+Dati!H86)&gt;0,(Dati!G86/(Dati!D86+Dati!H86)),0)</f>
        <v>1</v>
      </c>
      <c r="H18" s="83">
        <f>IF(((IF(Dati!$D$237=3,(Dati!I86+Dati!U86+Dati!J86+Dati!V86+Dati!P86),(Dati!J86+Dati!V86+Dati!P86))/Dati!$D$237)&gt;0),(IF(Dati!$D$237=3,(Dati!L86+Dati!M86+Dati!T86),(Dati!M86+Dati!T86))/Dati!$D$237)/(IF(Dati!$D$237=3,(Dati!I86+Dati!U86+Dati!J86+Dati!V86+Dati!P86),(Dati!J86+Dati!V86+Dati!P86))/Dati!$D$237),0)</f>
        <v>1</v>
      </c>
    </row>
    <row r="19" spans="1:8" s="57" customFormat="1" ht="27" customHeight="1">
      <c r="A19" s="58" t="s">
        <v>675</v>
      </c>
      <c r="B19" s="59" t="s">
        <v>638</v>
      </c>
      <c r="C19" s="54">
        <f>IF(Dati!$D$116&gt;0,(Dati!D87/Dati!$D$116),0)</f>
        <v>0</v>
      </c>
      <c r="D19" s="54">
        <f>IF(Dati!$E$116&gt;0,(Dati!E87/Dati!$E$116),0)</f>
        <v>0</v>
      </c>
      <c r="E19" s="54">
        <f>IF(Dati!$F$116&gt;0,(Dati!F87/Dati!$F$116),0)</f>
        <v>0</v>
      </c>
      <c r="F19" s="54">
        <f>IF(Dati!$D$237=3,(Dati!I87+Dati!J87+Dati!Y87)/(Dati!$D$237),(Dati!J87+Dati!Y87)/Dati!$D$237)/IF(Dati!$D$237=3,(Dati!$I$116+Dati!$J$116+Dati!$Y$116)/(Dati!$D$237),(Dati!$J$116+Dati!$Y$116)/Dati!$D$237)</f>
        <v>0</v>
      </c>
      <c r="G19" s="54">
        <f>IF((Dati!D87+Dati!H87)&gt;0,(Dati!G87/(Dati!D87+Dati!H87)),0)</f>
        <v>0</v>
      </c>
      <c r="H19" s="83">
        <f>IF(((IF(Dati!$D$237=3,(Dati!I87+Dati!U87+Dati!J87+Dati!V87+Dati!P87),(Dati!J87+Dati!V87+Dati!P87))/Dati!$D$237)&gt;0),(IF(Dati!$D$237=3,(Dati!L87+Dati!M87+Dati!T87),(Dati!M87+Dati!T87))/Dati!$D$237)/(IF(Dati!$D$237=3,(Dati!I87+Dati!U87+Dati!J87+Dati!V87+Dati!P87),(Dati!J87+Dati!V87+Dati!P87))/Dati!$D$237),0)</f>
        <v>0</v>
      </c>
    </row>
    <row r="20" spans="1:8" s="57" customFormat="1" ht="27" customHeight="1">
      <c r="A20" s="60" t="s">
        <v>676</v>
      </c>
      <c r="B20" s="61" t="s">
        <v>677</v>
      </c>
      <c r="C20" s="54">
        <f>IF(Dati!$D$116&gt;0,(Dati!D88/Dati!$D$116),0)</f>
        <v>0.02379775111331705</v>
      </c>
      <c r="D20" s="54">
        <f>IF(Dati!$E$116&gt;0,(Dati!E88/Dati!$E$116),0)</f>
        <v>0.02927114750301534</v>
      </c>
      <c r="E20" s="54">
        <f>IF(Dati!$F$116&gt;0,(Dati!F88/Dati!$F$116),0)</f>
        <v>0.03216165058186322</v>
      </c>
      <c r="F20" s="54">
        <f>IF(Dati!$D$237=3,(Dati!I88+Dati!J88+Dati!Y88)/(Dati!$D$237),(Dati!J88+Dati!Y88)/Dati!$D$237)/IF(Dati!$D$237=3,(Dati!$I$116+Dati!$J$116+Dati!$Y$116)/(Dati!$D$237),(Dati!$J$116+Dati!$Y$116)/Dati!$D$237)</f>
        <v>0.039455827195880554</v>
      </c>
      <c r="G20" s="54">
        <f>IF((Dati!D88+Dati!H88)&gt;0,(Dati!G88/(Dati!D88+Dati!H88)),0)</f>
        <v>1.0000000000000002</v>
      </c>
      <c r="H20" s="83">
        <f>IF(((IF(Dati!$D$237=3,(Dati!I88+Dati!U88+Dati!J88+Dati!V88+Dati!P88),(Dati!J88+Dati!V88+Dati!P88))/Dati!$D$237)&gt;0),(IF(Dati!$D$237=3,(Dati!L88+Dati!M88+Dati!T88),(Dati!M88+Dati!T88))/Dati!$D$237)/(IF(Dati!$D$237=3,(Dati!I88+Dati!U88+Dati!J88+Dati!V88+Dati!P88),(Dati!J88+Dati!V88+Dati!P88))/Dati!$D$237),0)</f>
        <v>0.976029327492874</v>
      </c>
    </row>
    <row r="21" spans="1:8" s="57" customFormat="1" ht="27" customHeight="1">
      <c r="A21" s="55" t="s">
        <v>678</v>
      </c>
      <c r="B21" s="61" t="s">
        <v>679</v>
      </c>
      <c r="C21" s="54"/>
      <c r="D21" s="54"/>
      <c r="E21" s="54"/>
      <c r="F21" s="54"/>
      <c r="G21" s="54"/>
      <c r="H21" s="83"/>
    </row>
    <row r="22" spans="1:8" s="57" customFormat="1" ht="27" customHeight="1">
      <c r="A22" s="58" t="s">
        <v>680</v>
      </c>
      <c r="B22" s="59" t="s">
        <v>639</v>
      </c>
      <c r="C22" s="54">
        <f>IF(Dati!$D$116&gt;0,(Dati!D89/Dati!$D$116),0)</f>
        <v>0.08346719094608686</v>
      </c>
      <c r="D22" s="54">
        <f>IF(Dati!$E$116&gt;0,(Dati!E89/Dati!$E$116),0)</f>
        <v>0.09668199623853675</v>
      </c>
      <c r="E22" s="54">
        <f>IF(Dati!$F$116&gt;0,(Dati!F89/Dati!$F$116),0)</f>
        <v>0.10413165472691813</v>
      </c>
      <c r="F22" s="54">
        <f>IF(Dati!$D$237=3,(Dati!I89+Dati!J89+Dati!Y89)/(Dati!$D$237),(Dati!J89+Dati!Y89)/Dati!$D$237)/IF(Dati!$D$237=3,(Dati!$I$116+Dati!$J$116+Dati!$Y$116)/(Dati!$D$237),(Dati!$J$116+Dati!$Y$116)/Dati!$D$237)</f>
        <v>0.1203494643523895</v>
      </c>
      <c r="G22" s="54">
        <f>IF((Dati!D89+Dati!H89)&gt;0,(Dati!G89/(Dati!D89+Dati!H89)),0)</f>
        <v>0.9489625467792191</v>
      </c>
      <c r="H22" s="83">
        <f>IF(((IF(Dati!$D$237=3,(Dati!I89+Dati!U89+Dati!J89+Dati!V89+Dati!P89),(Dati!J89+Dati!V89+Dati!P89))/Dati!$D$237)&gt;0),(IF(Dati!$D$237=3,(Dati!L89+Dati!M89+Dati!T89),(Dati!M89+Dati!T89))/Dati!$D$237)/(IF(Dati!$D$237=3,(Dati!I89+Dati!U89+Dati!J89+Dati!V89+Dati!P89),(Dati!J89+Dati!V89+Dati!P89))/Dati!$D$237),0)</f>
        <v>0.7916136233274226</v>
      </c>
    </row>
    <row r="23" spans="1:8" s="57" customFormat="1" ht="27" customHeight="1">
      <c r="A23" s="58" t="s">
        <v>681</v>
      </c>
      <c r="B23" s="59" t="s">
        <v>640</v>
      </c>
      <c r="C23" s="54">
        <f>IF(Dati!$D$116&gt;0,(Dati!D90/Dati!$D$116),0)</f>
        <v>0.022360596201123375</v>
      </c>
      <c r="D23" s="54">
        <f>IF(Dati!$E$116&gt;0,(Dati!E90/Dati!$E$116),0)</f>
        <v>0.028956213275234195</v>
      </c>
      <c r="E23" s="54">
        <f>IF(Dati!$F$116&gt;0,(Dati!F90/Dati!$F$116),0)</f>
        <v>0.03118685377163089</v>
      </c>
      <c r="F23" s="54">
        <f>IF(Dati!$D$237=3,(Dati!I90+Dati!J90+Dati!Y90)/(Dati!$D$237),(Dati!J90+Dati!Y90)/Dati!$D$237)/IF(Dati!$D$237=3,(Dati!$I$116+Dati!$J$116+Dati!$Y$116)/(Dati!$D$237),(Dati!$J$116+Dati!$Y$116)/Dati!$D$237)</f>
        <v>0.032422260834143804</v>
      </c>
      <c r="G23" s="54">
        <f>IF((Dati!D90+Dati!H90)&gt;0,(Dati!G90/(Dati!D90+Dati!H90)),0)</f>
        <v>0.4557862996765957</v>
      </c>
      <c r="H23" s="83">
        <f>IF(((IF(Dati!$D$237=3,(Dati!I90+Dati!U90+Dati!J90+Dati!V90+Dati!P90),(Dati!J90+Dati!V90+Dati!P90))/Dati!$D$237)&gt;0),(IF(Dati!$D$237=3,(Dati!L90+Dati!M90+Dati!T90),(Dati!M90+Dati!T90))/Dati!$D$237)/(IF(Dati!$D$237=3,(Dati!I90+Dati!U90+Dati!J90+Dati!V90+Dati!P90),(Dati!J90+Dati!V90+Dati!P90))/Dati!$D$237),0)</f>
        <v>0.4567658124433901</v>
      </c>
    </row>
    <row r="24" spans="1:8" s="57" customFormat="1" ht="27" customHeight="1">
      <c r="A24" s="58" t="s">
        <v>682</v>
      </c>
      <c r="B24" s="59" t="s">
        <v>641</v>
      </c>
      <c r="C24" s="54">
        <f>IF(Dati!$D$116&gt;0,(Dati!D91/Dati!$D$116),0)</f>
        <v>0.00035951139725538036</v>
      </c>
      <c r="D24" s="54">
        <f>IF(Dati!$E$116&gt;0,(Dati!E91/Dati!$E$116),0)</f>
        <v>0.00046555505945236137</v>
      </c>
      <c r="E24" s="54">
        <f>IF(Dati!$F$116&gt;0,(Dati!F91/Dati!$F$116),0)</f>
        <v>0.0005014190710565655</v>
      </c>
      <c r="F24" s="54">
        <f>IF(Dati!$D$237=3,(Dati!I91+Dati!J91+Dati!Y91)/(Dati!$D$237),(Dati!J91+Dati!Y91)/Dati!$D$237)/IF(Dati!$D$237=3,(Dati!$I$116+Dati!$J$116+Dati!$Y$116)/(Dati!$D$237),(Dati!$J$116+Dati!$Y$116)/Dati!$D$237)</f>
        <v>0.0003290733743394952</v>
      </c>
      <c r="G24" s="54">
        <f>IF((Dati!D91+Dati!H91)&gt;0,(Dati!G91/(Dati!D91+Dati!H91)),0)</f>
        <v>1</v>
      </c>
      <c r="H24" s="83">
        <f>IF(((IF(Dati!$D$237=3,(Dati!I91+Dati!U91+Dati!J91+Dati!V91+Dati!P91),(Dati!J91+Dati!V91+Dati!P91))/Dati!$D$237)&gt;0),(IF(Dati!$D$237=3,(Dati!L91+Dati!M91+Dati!T91),(Dati!M91+Dati!T91))/Dati!$D$237)/(IF(Dati!$D$237=3,(Dati!I91+Dati!U91+Dati!J91+Dati!V91+Dati!P91),(Dati!J91+Dati!V91+Dati!P91))/Dati!$D$237),0)</f>
        <v>0.6826811328516674</v>
      </c>
    </row>
    <row r="25" spans="1:8" s="57" customFormat="1" ht="27" customHeight="1">
      <c r="A25" s="58" t="s">
        <v>683</v>
      </c>
      <c r="B25" s="59" t="s">
        <v>642</v>
      </c>
      <c r="C25" s="54">
        <f>IF(Dati!$D$116&gt;0,(Dati!D92/Dati!$D$116),0)</f>
        <v>0.0029461877988425514</v>
      </c>
      <c r="D25" s="54">
        <f>IF(Dati!$E$116&gt;0,(Dati!E92/Dati!$E$116),0)</f>
        <v>0.002622845405365416</v>
      </c>
      <c r="E25" s="54">
        <f>IF(Dati!$F$116&gt;0,(Dati!F92/Dati!$F$116),0)</f>
        <v>0.0028248961749665663</v>
      </c>
      <c r="F25" s="54">
        <f>IF(Dati!$D$237=3,(Dati!I92+Dati!J92+Dati!Y92)/(Dati!$D$237),(Dati!J92+Dati!Y92)/Dati!$D$237)/IF(Dati!$D$237=3,(Dati!$I$116+Dati!$J$116+Dati!$Y$116)/(Dati!$D$237),(Dati!$J$116+Dati!$Y$116)/Dati!$D$237)</f>
        <v>0.00283392144816895</v>
      </c>
      <c r="G25" s="54">
        <f>IF((Dati!D92+Dati!H92)&gt;0,(Dati!G92/(Dati!D92+Dati!H92)),0)</f>
        <v>1</v>
      </c>
      <c r="H25" s="83">
        <f>IF(((IF(Dati!$D$237=3,(Dati!I92+Dati!U92+Dati!J92+Dati!V92+Dati!P92),(Dati!J92+Dati!V92+Dati!P92))/Dati!$D$237)&gt;0),(IF(Dati!$D$237=3,(Dati!L92+Dati!M92+Dati!T92),(Dati!M92+Dati!T92))/Dati!$D$237)/(IF(Dati!$D$237=3,(Dati!I92+Dati!U92+Dati!J92+Dati!V92+Dati!P92),(Dati!J92+Dati!V92+Dati!P92))/Dati!$D$237),0)</f>
        <v>1</v>
      </c>
    </row>
    <row r="26" spans="1:8" s="57" customFormat="1" ht="27" customHeight="1">
      <c r="A26" s="60" t="s">
        <v>684</v>
      </c>
      <c r="B26" s="59" t="s">
        <v>643</v>
      </c>
      <c r="C26" s="54">
        <f>IF(Dati!$D$116&gt;0,(Dati!D93/Dati!$D$116),0)</f>
        <v>0.016286464299837967</v>
      </c>
      <c r="D26" s="54">
        <f>IF(Dati!$E$116&gt;0,(Dati!E93/Dati!$E$116),0)</f>
        <v>0.02045835153257457</v>
      </c>
      <c r="E26" s="54">
        <f>IF(Dati!$F$116&gt;0,(Dati!F93/Dati!$F$116),0)</f>
        <v>0.022034359658509715</v>
      </c>
      <c r="F26" s="54">
        <f>IF(Dati!$D$237=3,(Dati!I93+Dati!J93+Dati!Y93)/(Dati!$D$237),(Dati!J93+Dati!Y93)/Dati!$D$237)/IF(Dati!$D$237=3,(Dati!$I$116+Dati!$J$116+Dati!$Y$116)/(Dati!$D$237),(Dati!$J$116+Dati!$Y$116)/Dati!$D$237)</f>
        <v>0.02346163116245917</v>
      </c>
      <c r="G26" s="54">
        <f>IF((Dati!D93+Dati!H93)&gt;0,(Dati!G93/(Dati!D93+Dati!H93)),0)</f>
        <v>1.0000000000000002</v>
      </c>
      <c r="H26" s="83">
        <f>IF(((IF(Dati!$D$237=3,(Dati!I93+Dati!U93+Dati!J93+Dati!V93+Dati!P93),(Dati!J93+Dati!V93+Dati!P93))/Dati!$D$237)&gt;0),(IF(Dati!$D$237=3,(Dati!L93+Dati!M93+Dati!T93),(Dati!M93+Dati!T93))/Dati!$D$237)/(IF(Dati!$D$237=3,(Dati!I93+Dati!U93+Dati!J93+Dati!V93+Dati!P93),(Dati!J93+Dati!V93+Dati!P93))/Dati!$D$237),0)</f>
        <v>0.8164328736420063</v>
      </c>
    </row>
    <row r="27" spans="1:8" s="57" customFormat="1" ht="27" customHeight="1">
      <c r="A27" s="55" t="s">
        <v>685</v>
      </c>
      <c r="B27" s="61" t="s">
        <v>686</v>
      </c>
      <c r="C27" s="54">
        <f>IF(Dati!$D$116&gt;0,(Dati!D94/Dati!$D$116),0)</f>
        <v>0.12541995064314615</v>
      </c>
      <c r="D27" s="54">
        <f>IF(Dati!$E$116&gt;0,(Dati!E94/Dati!$E$116),0)</f>
        <v>0.14918496151116328</v>
      </c>
      <c r="E27" s="54">
        <f>IF(Dati!$F$116&gt;0,(Dati!F94/Dati!$F$116),0)</f>
        <v>0.16067918340308188</v>
      </c>
      <c r="F27" s="54">
        <f>IF(Dati!$D$237=3,(Dati!I94+Dati!J94+Dati!Y94)/(Dati!$D$237),(Dati!J94+Dati!Y94)/Dati!$D$237)/IF(Dati!$D$237=3,(Dati!$I$116+Dati!$J$116+Dati!$Y$116)/(Dati!$D$237),(Dati!$J$116+Dati!$Y$116)/Dati!$D$237)</f>
        <v>0.1793963511715009</v>
      </c>
      <c r="G27" s="54">
        <f>IF((Dati!D94+Dati!H94)&gt;0,(Dati!G94/(Dati!D94+Dati!H94)),0)</f>
        <v>0.8380427338101968</v>
      </c>
      <c r="H27" s="83">
        <f>IF(((IF(Dati!$D$237=3,(Dati!I94+Dati!U94+Dati!J94+Dati!V94+Dati!P94),(Dati!J94+Dati!V94+Dati!P94))/Dati!$D$237)&gt;0),(IF(Dati!$D$237=3,(Dati!L94+Dati!M94+Dati!T94),(Dati!M94+Dati!T94))/Dati!$D$237)/(IF(Dati!$D$237=3,(Dati!I94+Dati!U94+Dati!J94+Dati!V94+Dati!P94),(Dati!J94+Dati!V94+Dati!P94))/Dati!$D$237),0)</f>
        <v>0.7166332716082828</v>
      </c>
    </row>
    <row r="28" spans="1:8" s="57" customFormat="1" ht="27" customHeight="1">
      <c r="A28" s="55" t="s">
        <v>687</v>
      </c>
      <c r="B28" s="61" t="s">
        <v>688</v>
      </c>
      <c r="C28" s="54"/>
      <c r="D28" s="54"/>
      <c r="E28" s="54"/>
      <c r="F28" s="54"/>
      <c r="G28" s="54"/>
      <c r="H28" s="83"/>
    </row>
    <row r="29" spans="1:8" s="57" customFormat="1" ht="27" customHeight="1">
      <c r="A29" s="58" t="s">
        <v>689</v>
      </c>
      <c r="B29" s="59" t="s">
        <v>644</v>
      </c>
      <c r="C29" s="54">
        <f>IF(Dati!$D$116&gt;0,(Dati!D95/Dati!$D$116),0)</f>
        <v>0</v>
      </c>
      <c r="D29" s="54">
        <f>IF(Dati!$E$116&gt;0,(Dati!E95/Dati!$E$116),0)</f>
        <v>0</v>
      </c>
      <c r="E29" s="54">
        <f>IF(Dati!$F$116&gt;0,(Dati!F95/Dati!$F$116),0)</f>
        <v>0</v>
      </c>
      <c r="F29" s="54">
        <f>IF(Dati!$D$237=3,(Dati!I95+Dati!J95+Dati!Y95)/(Dati!$D$237),(Dati!J95+Dati!Y95)/Dati!$D$237)/IF(Dati!$D$237=3,(Dati!$I$116+Dati!$J$116+Dati!$Y$116)/(Dati!$D$237),(Dati!$J$116+Dati!$Y$116)/Dati!$D$237)</f>
        <v>0</v>
      </c>
      <c r="G29" s="54">
        <f>IF((Dati!D95+Dati!H95)&gt;0,(Dati!G95/(Dati!D95+Dati!H95)),0)</f>
        <v>0</v>
      </c>
      <c r="H29" s="83">
        <f>IF(((IF(Dati!$D$237=3,(Dati!I95+Dati!U95+Dati!J95+Dati!V95+Dati!P95),(Dati!J95+Dati!V95+Dati!P95))/Dati!$D$237)&gt;0),(IF(Dati!$D$237=3,(Dati!L95+Dati!M95+Dati!T95),(Dati!M95+Dati!T95))/Dati!$D$237)/(IF(Dati!$D$237=3,(Dati!I95+Dati!U95+Dati!J95+Dati!V95+Dati!P95),(Dati!J95+Dati!V95+Dati!P95))/Dati!$D$237),0)</f>
        <v>0</v>
      </c>
    </row>
    <row r="30" spans="1:8" s="57" customFormat="1" ht="27" customHeight="1">
      <c r="A30" s="58" t="s">
        <v>690</v>
      </c>
      <c r="B30" s="59" t="s">
        <v>645</v>
      </c>
      <c r="C30" s="54">
        <f>IF(Dati!$D$116&gt;0,(Dati!D96/Dati!$D$116),0)</f>
        <v>0.1388937598041638</v>
      </c>
      <c r="D30" s="54">
        <f>IF(Dati!$E$116&gt;0,(Dati!E96/Dati!$E$116),0)</f>
        <v>0.07409538270157301</v>
      </c>
      <c r="E30" s="54">
        <f>IF(Dati!$F$116&gt;0,(Dati!F96/Dati!$F$116),0)</f>
        <v>0.016243153006057755</v>
      </c>
      <c r="F30" s="54">
        <f>IF(Dati!$D$237=3,(Dati!I96+Dati!J96+Dati!Y96)/(Dati!$D$237),(Dati!J96+Dati!Y96)/Dati!$D$237)/IF(Dati!$D$237=3,(Dati!$I$116+Dati!$J$116+Dati!$Y$116)/(Dati!$D$237),(Dati!$J$116+Dati!$Y$116)/Dati!$D$237)</f>
        <v>0.05510751451463836</v>
      </c>
      <c r="G30" s="54">
        <f>IF((Dati!D96+Dati!H96)&gt;0,(Dati!G96/(Dati!D96+Dati!H96)),0)</f>
        <v>0.9999999999999999</v>
      </c>
      <c r="H30" s="83">
        <f>IF(((IF(Dati!$D$237=3,(Dati!I96+Dati!U96+Dati!J96+Dati!V96+Dati!P96),(Dati!J96+Dati!V96+Dati!P96))/Dati!$D$237)&gt;0),(IF(Dati!$D$237=3,(Dati!L96+Dati!M96+Dati!T96),(Dati!M96+Dati!T96))/Dati!$D$237)/(IF(Dati!$D$237=3,(Dati!I96+Dati!U96+Dati!J96+Dati!V96+Dati!P96),(Dati!J96+Dati!V96+Dati!P96))/Dati!$D$237),0)</f>
        <v>0.9561865664335659</v>
      </c>
    </row>
    <row r="31" spans="1:8" s="57" customFormat="1" ht="27" customHeight="1">
      <c r="A31" s="58" t="s">
        <v>691</v>
      </c>
      <c r="B31" s="59" t="s">
        <v>646</v>
      </c>
      <c r="C31" s="54">
        <f>IF(Dati!$D$116&gt;0,(Dati!D97/Dati!$D$116),0)</f>
        <v>0.0007595311209620712</v>
      </c>
      <c r="D31" s="54">
        <f>IF(Dati!$E$116&gt;0,(Dati!E97/Dati!$E$116),0)</f>
        <v>0.0009835670270120311</v>
      </c>
      <c r="E31" s="54">
        <f>IF(Dati!$F$116&gt;0,(Dati!F97/Dati!$F$116),0)</f>
        <v>0.0010593360656124624</v>
      </c>
      <c r="F31" s="54">
        <f>IF(Dati!$D$237=3,(Dati!I97+Dati!J97+Dati!Y97)/(Dati!$D$237),(Dati!J97+Dati!Y97)/Dati!$D$237)/IF(Dati!$D$237=3,(Dati!$I$116+Dati!$J$116+Dati!$Y$116)/(Dati!$D$237),(Dati!$J$116+Dati!$Y$116)/Dati!$D$237)</f>
        <v>0.001126884363403761</v>
      </c>
      <c r="G31" s="54">
        <f>IF((Dati!D97+Dati!H97)&gt;0,(Dati!G97/(Dati!D97+Dati!H97)),0)</f>
        <v>1</v>
      </c>
      <c r="H31" s="83">
        <f>IF(((IF(Dati!$D$237=3,(Dati!I97+Dati!U97+Dati!J97+Dati!V97+Dati!P97),(Dati!J97+Dati!V97+Dati!P97))/Dati!$D$237)&gt;0),(IF(Dati!$D$237=3,(Dati!L97+Dati!M97+Dati!T97),(Dati!M97+Dati!T97))/Dati!$D$237)/(IF(Dati!$D$237=3,(Dati!I97+Dati!U97+Dati!J97+Dati!V97+Dati!P97),(Dati!J97+Dati!V97+Dati!P97))/Dati!$D$237),0)</f>
        <v>1</v>
      </c>
    </row>
    <row r="32" spans="1:8" s="57" customFormat="1" ht="27" customHeight="1">
      <c r="A32" s="58" t="s">
        <v>692</v>
      </c>
      <c r="B32" s="59" t="s">
        <v>647</v>
      </c>
      <c r="C32" s="54">
        <f>IF(Dati!$D$116&gt;0,(Dati!D98/Dati!$D$116),0)</f>
        <v>0.023094708347237248</v>
      </c>
      <c r="D32" s="54">
        <f>IF(Dati!$E$116&gt;0,(Dati!E98/Dati!$E$116),0)</f>
        <v>0.011474948648473695</v>
      </c>
      <c r="E32" s="54">
        <f>IF(Dati!$F$116&gt;0,(Dati!F98/Dati!$F$116),0)</f>
        <v>0.0014124480874832832</v>
      </c>
      <c r="F32" s="54">
        <f>IF(Dati!$D$237=3,(Dati!I98+Dati!J98+Dati!Y98)/(Dati!$D$237),(Dati!J98+Dati!Y98)/Dati!$D$237)/IF(Dati!$D$237=3,(Dati!$I$116+Dati!$J$116+Dati!$Y$116)/(Dati!$D$237),(Dati!$J$116+Dati!$Y$116)/Dati!$D$237)</f>
        <v>0.02197976661497395</v>
      </c>
      <c r="G32" s="54">
        <f>IF((Dati!D98+Dati!H98)&gt;0,(Dati!G98/(Dati!D98+Dati!H98)),0)</f>
        <v>1</v>
      </c>
      <c r="H32" s="83">
        <f>IF(((IF(Dati!$D$237=3,(Dati!I98+Dati!U98+Dati!J98+Dati!V98+Dati!P98),(Dati!J98+Dati!V98+Dati!P98))/Dati!$D$237)&gt;0),(IF(Dati!$D$237=3,(Dati!L98+Dati!M98+Dati!T98),(Dati!M98+Dati!T98))/Dati!$D$237)/(IF(Dati!$D$237=3,(Dati!I98+Dati!U98+Dati!J98+Dati!V98+Dati!P98),(Dati!J98+Dati!V98+Dati!P98))/Dati!$D$237),0)</f>
        <v>0.26130392907602024</v>
      </c>
    </row>
    <row r="33" spans="1:8" s="57" customFormat="1" ht="27" customHeight="1">
      <c r="A33" s="58" t="s">
        <v>693</v>
      </c>
      <c r="B33" s="59" t="s">
        <v>648</v>
      </c>
      <c r="C33" s="54">
        <f>IF(Dati!$D$116&gt;0,(Dati!D99/Dati!$D$116),0)</f>
        <v>0.0344395056979769</v>
      </c>
      <c r="D33" s="54">
        <f>IF(Dati!$E$116&gt;0,(Dati!E99/Dati!$E$116),0)</f>
        <v>0.027343163350934462</v>
      </c>
      <c r="E33" s="54">
        <f>IF(Dati!$F$116&gt;0,(Dati!F99/Dati!$F$116),0)</f>
        <v>0.024788463935331618</v>
      </c>
      <c r="F33" s="54">
        <f>IF(Dati!$D$237=3,(Dati!I99+Dati!J99+Dati!Y99)/(Dati!$D$237),(Dati!J99+Dati!Y99)/Dati!$D$237)/IF(Dati!$D$237=3,(Dati!$I$116+Dati!$J$116+Dati!$Y$116)/(Dati!$D$237),(Dati!$J$116+Dati!$Y$116)/Dati!$D$237)</f>
        <v>0.035925283155734886</v>
      </c>
      <c r="G33" s="54">
        <f>IF((Dati!D99+Dati!H99)&gt;0,(Dati!G99/(Dati!D99+Dati!H99)),0)</f>
        <v>1</v>
      </c>
      <c r="H33" s="83">
        <f>IF(((IF(Dati!$D$237=3,(Dati!I99+Dati!U99+Dati!J99+Dati!V99+Dati!P99),(Dati!J99+Dati!V99+Dati!P99))/Dati!$D$237)&gt;0),(IF(Dati!$D$237=3,(Dati!L99+Dati!M99+Dati!T99),(Dati!M99+Dati!T99))/Dati!$D$237)/(IF(Dati!$D$237=3,(Dati!I99+Dati!U99+Dati!J99+Dati!V99+Dati!P99),(Dati!J99+Dati!V99+Dati!P99))/Dati!$D$237),0)</f>
        <v>0.9972080939372135</v>
      </c>
    </row>
    <row r="34" spans="1:8" s="57" customFormat="1" ht="27" customHeight="1">
      <c r="A34" s="60" t="s">
        <v>694</v>
      </c>
      <c r="B34" s="61" t="s">
        <v>695</v>
      </c>
      <c r="C34" s="54">
        <f>IF(Dati!$D$116&gt;0,(Dati!D100/Dati!$D$116),0)</f>
        <v>0.19718750497034004</v>
      </c>
      <c r="D34" s="54">
        <f>IF(Dati!$E$116&gt;0,(Dati!E100/Dati!$E$116),0)</f>
        <v>0.1138970617279932</v>
      </c>
      <c r="E34" s="54">
        <f>IF(Dati!$F$116&gt;0,(Dati!F100/Dati!$F$116),0)</f>
        <v>0.04350340109448512</v>
      </c>
      <c r="F34" s="54">
        <f>IF(Dati!$D$237=3,(Dati!I100+Dati!J100+Dati!Y100)/(Dati!$D$237),(Dati!J100+Dati!Y100)/Dati!$D$237)/IF(Dati!$D$237=3,(Dati!$I$116+Dati!$J$116+Dati!$Y$116)/(Dati!$D$237),(Dati!$J$116+Dati!$Y$116)/Dati!$D$237)</f>
        <v>0.11413944864875097</v>
      </c>
      <c r="G34" s="54">
        <f>IF((Dati!D100+Dati!H100)&gt;0,(Dati!G100/(Dati!D100+Dati!H100)),0)</f>
        <v>1</v>
      </c>
      <c r="H34" s="83">
        <f>IF(((IF(Dati!$D$237=3,(Dati!I100+Dati!U100+Dati!J100+Dati!V100+Dati!P100),(Dati!J100+Dati!V100+Dati!P100))/Dati!$D$237)&gt;0),(IF(Dati!$D$237=3,(Dati!L100+Dati!M100+Dati!T100),(Dati!M100+Dati!T100))/Dati!$D$237)/(IF(Dati!$D$237=3,(Dati!I100+Dati!U100+Dati!J100+Dati!V100+Dati!P100),(Dati!J100+Dati!V100+Dati!P100))/Dati!$D$237),0)</f>
        <v>0.8373787431364809</v>
      </c>
    </row>
    <row r="35" spans="1:8" s="57" customFormat="1" ht="27" customHeight="1">
      <c r="A35" s="55" t="s">
        <v>696</v>
      </c>
      <c r="B35" s="61" t="s">
        <v>697</v>
      </c>
      <c r="C35" s="54"/>
      <c r="D35" s="54"/>
      <c r="E35" s="54"/>
      <c r="F35" s="54"/>
      <c r="G35" s="54"/>
      <c r="H35" s="83"/>
    </row>
    <row r="36" spans="1:8" s="57" customFormat="1" ht="27" customHeight="1">
      <c r="A36" s="58" t="s">
        <v>698</v>
      </c>
      <c r="B36" s="59" t="s">
        <v>649</v>
      </c>
      <c r="C36" s="54">
        <f>IF(Dati!$D$116&gt;0,(Dati!D101/Dati!$D$116),0)</f>
        <v>0</v>
      </c>
      <c r="D36" s="54">
        <f>IF(Dati!$E$116&gt;0,(Dati!E101/Dati!$E$116),0)</f>
        <v>0</v>
      </c>
      <c r="E36" s="54">
        <f>IF(Dati!$F$116&gt;0,(Dati!F101/Dati!$F$116),0)</f>
        <v>0</v>
      </c>
      <c r="F36" s="54">
        <f>IF(Dati!$D$237=3,(Dati!I101+Dati!J101+Dati!Y101)/(Dati!$D$237),(Dati!J101+Dati!Y101)/Dati!$D$237)/IF(Dati!$D$237=3,(Dati!$I$116+Dati!$J$116+Dati!$Y$116)/(Dati!$D$237),(Dati!$J$116+Dati!$Y$116)/Dati!$D$237)</f>
        <v>0</v>
      </c>
      <c r="G36" s="54">
        <f>IF((Dati!D101+Dati!H101)&gt;0,(Dati!G101/(Dati!D101+Dati!H101)),0)</f>
        <v>0</v>
      </c>
      <c r="H36" s="83">
        <f>IF(((IF(Dati!$D$237=3,(Dati!I101+Dati!U101+Dati!J101+Dati!V101+Dati!P101),(Dati!J101+Dati!V101+Dati!P101))/Dati!$D$237)&gt;0),(IF(Dati!$D$237=3,(Dati!L101+Dati!M101+Dati!T101),(Dati!M101+Dati!T101))/Dati!$D$237)/(IF(Dati!$D$237=3,(Dati!I101+Dati!U101+Dati!J101+Dati!V101+Dati!P101),(Dati!J101+Dati!V101+Dati!P101))/Dati!$D$237),0)</f>
        <v>0</v>
      </c>
    </row>
    <row r="37" spans="1:8" s="57" customFormat="1" ht="27" customHeight="1">
      <c r="A37" s="58" t="s">
        <v>699</v>
      </c>
      <c r="B37" s="59" t="s">
        <v>650</v>
      </c>
      <c r="C37" s="54">
        <f>IF(Dati!$D$116&gt;0,(Dati!D102/Dati!$D$116),0)</f>
        <v>0</v>
      </c>
      <c r="D37" s="54">
        <f>IF(Dati!$E$116&gt;0,(Dati!E102/Dati!$E$116),0)</f>
        <v>0</v>
      </c>
      <c r="E37" s="54">
        <f>IF(Dati!$F$116&gt;0,(Dati!F102/Dati!$F$116),0)</f>
        <v>0</v>
      </c>
      <c r="F37" s="54">
        <f>IF(Dati!$D$237=3,(Dati!I102+Dati!J102+Dati!Y102)/(Dati!$D$237),(Dati!J102+Dati!Y102)/Dati!$D$237)/IF(Dati!$D$237=3,(Dati!$I$116+Dati!$J$116+Dati!$Y$116)/(Dati!$D$237),(Dati!$J$116+Dati!$Y$116)/Dati!$D$237)</f>
        <v>0</v>
      </c>
      <c r="G37" s="54">
        <f>IF((Dati!D102+Dati!H102)&gt;0,(Dati!G102/(Dati!D102+Dati!H102)),0)</f>
        <v>0</v>
      </c>
      <c r="H37" s="83">
        <f>IF(((IF(Dati!$D$237=3,(Dati!I102+Dati!U102+Dati!J102+Dati!V102+Dati!P102),(Dati!J102+Dati!V102+Dati!P102))/Dati!$D$237)&gt;0),(IF(Dati!$D$237=3,(Dati!L102+Dati!M102+Dati!T102),(Dati!M102+Dati!T102))/Dati!$D$237)/(IF(Dati!$D$237=3,(Dati!I102+Dati!U102+Dati!J102+Dati!V102+Dati!P102),(Dati!J102+Dati!V102+Dati!P102))/Dati!$D$237),0)</f>
        <v>0</v>
      </c>
    </row>
    <row r="38" spans="1:8" s="57" customFormat="1" ht="27" customHeight="1">
      <c r="A38" s="58" t="s">
        <v>700</v>
      </c>
      <c r="B38" s="59" t="s">
        <v>651</v>
      </c>
      <c r="C38" s="54">
        <f>IF(Dati!$D$116&gt;0,(Dati!D103/Dati!$D$116),0)</f>
        <v>0</v>
      </c>
      <c r="D38" s="54">
        <f>IF(Dati!$E$116&gt;0,(Dati!E103/Dati!$E$116),0)</f>
        <v>0</v>
      </c>
      <c r="E38" s="54">
        <f>IF(Dati!$F$116&gt;0,(Dati!F103/Dati!$F$116),0)</f>
        <v>0</v>
      </c>
      <c r="F38" s="54">
        <f>IF(Dati!$D$237=3,(Dati!I103+Dati!J103+Dati!Y103)/(Dati!$D$237),(Dati!J103+Dati!Y103)/Dati!$D$237)/IF(Dati!$D$237=3,(Dati!$I$116+Dati!$J$116+Dati!$Y$116)/(Dati!$D$237),(Dati!$J$116+Dati!$Y$116)/Dati!$D$237)</f>
        <v>0</v>
      </c>
      <c r="G38" s="54">
        <f>IF((Dati!D103+Dati!H103)&gt;0,(Dati!G103/(Dati!D103+Dati!H103)),0)</f>
        <v>0</v>
      </c>
      <c r="H38" s="83">
        <f>IF(((IF(Dati!$D$237=3,(Dati!I103+Dati!U103+Dati!J103+Dati!V103+Dati!P103),(Dati!J103+Dati!V103+Dati!P103))/Dati!$D$237)&gt;0),(IF(Dati!$D$237=3,(Dati!L103+Dati!M103+Dati!T103),(Dati!M103+Dati!T103))/Dati!$D$237)/(IF(Dati!$D$237=3,(Dati!I103+Dati!U103+Dati!J103+Dati!V103+Dati!P103),(Dati!J103+Dati!V103+Dati!P103))/Dati!$D$237),0)</f>
        <v>0</v>
      </c>
    </row>
    <row r="39" spans="1:8" s="57" customFormat="1" ht="27" customHeight="1">
      <c r="A39" s="58" t="s">
        <v>701</v>
      </c>
      <c r="B39" s="59" t="s">
        <v>652</v>
      </c>
      <c r="C39" s="54">
        <f>IF(Dati!$D$116&gt;0,(Dati!D104/Dati!$D$116),0)</f>
        <v>0</v>
      </c>
      <c r="D39" s="54">
        <f>IF(Dati!$E$116&gt;0,(Dati!E104/Dati!$E$116),0)</f>
        <v>0</v>
      </c>
      <c r="E39" s="54">
        <f>IF(Dati!$F$116&gt;0,(Dati!F104/Dati!$F$116),0)</f>
        <v>0</v>
      </c>
      <c r="F39" s="54">
        <f>IF(Dati!$D$237=3,(Dati!I104+Dati!J104+Dati!Y104)/(Dati!$D$237),(Dati!J104+Dati!Y104)/Dati!$D$237)/IF(Dati!$D$237=3,(Dati!$I$116+Dati!$J$116+Dati!$Y$116)/(Dati!$D$237),(Dati!$J$116+Dati!$Y$116)/Dati!$D$237)</f>
        <v>0</v>
      </c>
      <c r="G39" s="54">
        <f>IF((Dati!D104+Dati!H104)&gt;0,(Dati!G104/(Dati!D104+Dati!H104)),0)</f>
        <v>0</v>
      </c>
      <c r="H39" s="83">
        <f>IF(((IF(Dati!$D$237=3,(Dati!I104+Dati!U104+Dati!J104+Dati!V104+Dati!P104),(Dati!J104+Dati!V104+Dati!P104))/Dati!$D$237)&gt;0),(IF(Dati!$D$237=3,(Dati!L104+Dati!M104+Dati!T104),(Dati!M104+Dati!T104))/Dati!$D$237)/(IF(Dati!$D$237=3,(Dati!I104+Dati!U104+Dati!J104+Dati!V104+Dati!P104),(Dati!J104+Dati!V104+Dati!P104))/Dati!$D$237),0)</f>
        <v>0</v>
      </c>
    </row>
    <row r="40" spans="1:8" s="57" customFormat="1" ht="27" customHeight="1">
      <c r="A40" s="60" t="s">
        <v>702</v>
      </c>
      <c r="B40" s="61" t="s">
        <v>703</v>
      </c>
      <c r="C40" s="54">
        <f>IF(Dati!$D$116&gt;0,(Dati!D105/Dati!$D$116),0)</f>
        <v>0</v>
      </c>
      <c r="D40" s="54">
        <f>IF(Dati!$E$116&gt;0,(Dati!E105/Dati!$E$116),0)</f>
        <v>0</v>
      </c>
      <c r="E40" s="54">
        <f>IF(Dati!$F$116&gt;0,(Dati!F105/Dati!$F$116),0)</f>
        <v>0</v>
      </c>
      <c r="F40" s="54">
        <f>IF(Dati!$D$237=3,(Dati!I105+Dati!J105+Dati!Y105)/(Dati!$D$237),(Dati!J105+Dati!Y105)/Dati!$D$237)/IF(Dati!$D$237=3,(Dati!$I$116+Dati!$J$116+Dati!$Y$116)/(Dati!$D$237),(Dati!$J$116+Dati!$Y$116)/Dati!$D$237)</f>
        <v>0</v>
      </c>
      <c r="G40" s="54">
        <f>IF((Dati!D105+Dati!H105)&gt;0,(Dati!G105/(Dati!D105+Dati!H105)),0)</f>
        <v>0</v>
      </c>
      <c r="H40" s="83">
        <f>IF(((IF(Dati!$D$237=3,(Dati!I105+Dati!U105+Dati!J105+Dati!V105+Dati!P105),(Dati!J105+Dati!V105+Dati!P105))/Dati!$D$237)&gt;0),(IF(Dati!$D$237=3,(Dati!L105+Dati!M105+Dati!T105),(Dati!M105+Dati!T105))/Dati!$D$237)/(IF(Dati!$D$237=3,(Dati!I105+Dati!U105+Dati!J105+Dati!V105+Dati!P105),(Dati!J105+Dati!V105+Dati!P105))/Dati!$D$237),0)</f>
        <v>0</v>
      </c>
    </row>
    <row r="41" spans="1:8" s="57" customFormat="1" ht="27" customHeight="1">
      <c r="A41" s="55" t="s">
        <v>704</v>
      </c>
      <c r="B41" s="61" t="s">
        <v>705</v>
      </c>
      <c r="C41" s="54"/>
      <c r="D41" s="54"/>
      <c r="E41" s="54"/>
      <c r="F41" s="54"/>
      <c r="G41" s="54"/>
      <c r="H41" s="83"/>
    </row>
    <row r="42" spans="1:8" s="57" customFormat="1" ht="27" customHeight="1">
      <c r="A42" s="58" t="s">
        <v>706</v>
      </c>
      <c r="B42" s="59" t="s">
        <v>653</v>
      </c>
      <c r="C42" s="54">
        <f>IF(Dati!$D$116&gt;0,(Dati!D106/Dati!$D$116),0)</f>
        <v>0</v>
      </c>
      <c r="D42" s="54">
        <f>IF(Dati!$E$116&gt;0,(Dati!E106/Dati!$E$116),0)</f>
        <v>0</v>
      </c>
      <c r="E42" s="54">
        <f>IF(Dati!$F$116&gt;0,(Dati!F106/Dati!$F$116),0)</f>
        <v>0</v>
      </c>
      <c r="F42" s="54">
        <f>IF(Dati!$D$237=3,(Dati!I106+Dati!J106+Dati!Y106)/(Dati!$D$237),(Dati!J106+Dati!Y106)/Dati!$D$237)/IF(Dati!$D$237=3,(Dati!$I$116+Dati!$J$116+Dati!$Y$116)/(Dati!$D$237),(Dati!$J$116+Dati!$Y$116)/Dati!$D$237)</f>
        <v>0</v>
      </c>
      <c r="G42" s="54">
        <f>IF((Dati!D106+Dati!H106)&gt;0,(Dati!G106/(Dati!D106+Dati!H106)),0)</f>
        <v>0</v>
      </c>
      <c r="H42" s="83">
        <f>IF(((IF(Dati!$D$237=3,(Dati!I106+Dati!U106+Dati!J106+Dati!V106+Dati!P106),(Dati!J106+Dati!V106+Dati!P106))/Dati!$D$237)&gt;0),(IF(Dati!$D$237=3,(Dati!L106+Dati!M106+Dati!T106),(Dati!M106+Dati!T106))/Dati!$D$237)/(IF(Dati!$D$237=3,(Dati!I106+Dati!U106+Dati!J106+Dati!V106+Dati!P106),(Dati!J106+Dati!V106+Dati!P106))/Dati!$D$237),0)</f>
        <v>0</v>
      </c>
    </row>
    <row r="43" spans="1:8" s="57" customFormat="1" ht="27" customHeight="1">
      <c r="A43" s="58" t="s">
        <v>707</v>
      </c>
      <c r="B43" s="59" t="s">
        <v>654</v>
      </c>
      <c r="C43" s="54">
        <f>IF(Dati!$D$116&gt;0,(Dati!D107/Dati!$D$116),0)</f>
        <v>0</v>
      </c>
      <c r="D43" s="54">
        <f>IF(Dati!$E$116&gt;0,(Dati!E107/Dati!$E$116),0)</f>
        <v>0</v>
      </c>
      <c r="E43" s="54">
        <f>IF(Dati!$F$116&gt;0,(Dati!F107/Dati!$F$116),0)</f>
        <v>0</v>
      </c>
      <c r="F43" s="54">
        <f>IF(Dati!$D$237=3,(Dati!I107+Dati!J107+Dati!Y107)/(Dati!$D$237),(Dati!J107+Dati!Y107)/Dati!$D$237)/IF(Dati!$D$237=3,(Dati!$I$116+Dati!$J$116+Dati!$Y$116)/(Dati!$D$237),(Dati!$J$116+Dati!$Y$116)/Dati!$D$237)</f>
        <v>0</v>
      </c>
      <c r="G43" s="54">
        <f>IF((Dati!D107+Dati!H107)&gt;0,(Dati!G107/(Dati!D107+Dati!H107)),0)</f>
        <v>0</v>
      </c>
      <c r="H43" s="83">
        <f>IF(((IF(Dati!$D$237=3,(Dati!I107+Dati!U107+Dati!J107+Dati!V107+Dati!P107),(Dati!J107+Dati!V107+Dati!P107))/Dati!$D$237)&gt;0),(IF(Dati!$D$237=3,(Dati!L107+Dati!M107+Dati!T107),(Dati!M107+Dati!T107))/Dati!$D$237)/(IF(Dati!$D$237=3,(Dati!I107+Dati!U107+Dati!J107+Dati!V107+Dati!P107),(Dati!J107+Dati!V107+Dati!P107))/Dati!$D$237),0)</f>
        <v>0</v>
      </c>
    </row>
    <row r="44" spans="1:8" s="57" customFormat="1" ht="27" customHeight="1">
      <c r="A44" s="58" t="s">
        <v>708</v>
      </c>
      <c r="B44" s="59" t="s">
        <v>655</v>
      </c>
      <c r="C44" s="54">
        <f>IF(Dati!$D$116&gt;0,(Dati!D108/Dati!$D$116),0)</f>
        <v>0.007443404985428298</v>
      </c>
      <c r="D44" s="54">
        <f>IF(Dati!$E$116&gt;0,(Dati!E108/Dati!$E$116),0)</f>
        <v>0.01639278378353385</v>
      </c>
      <c r="E44" s="54">
        <f>IF(Dati!$F$116&gt;0,(Dati!F108/Dati!$F$116),0)</f>
        <v>0.01765560109354104</v>
      </c>
      <c r="F44" s="54">
        <f>IF(Dati!$D$237=3,(Dati!I108+Dati!J108+Dati!Y108)/(Dati!$D$237),(Dati!J108+Dati!Y108)/Dati!$D$237)/IF(Dati!$D$237=3,(Dati!$I$116+Dati!$J$116+Dati!$Y$116)/(Dati!$D$237),(Dati!$J$116+Dati!$Y$116)/Dati!$D$237)</f>
        <v>0</v>
      </c>
      <c r="G44" s="54">
        <f>IF((Dati!D108+Dati!H108)&gt;0,(Dati!G108/(Dati!D108+Dati!H108)),0)</f>
        <v>1</v>
      </c>
      <c r="H44" s="83">
        <f>IF(((IF(Dati!$D$237=3,(Dati!I108+Dati!U108+Dati!J108+Dati!V108+Dati!P108),(Dati!J108+Dati!V108+Dati!P108))/Dati!$D$237)&gt;0),(IF(Dati!$D$237=3,(Dati!L108+Dati!M108+Dati!T108),(Dati!M108+Dati!T108))/Dati!$D$237)/(IF(Dati!$D$237=3,(Dati!I108+Dati!U108+Dati!J108+Dati!V108+Dati!P108),(Dati!J108+Dati!V108+Dati!P108))/Dati!$D$237),0)</f>
        <v>0</v>
      </c>
    </row>
    <row r="45" spans="1:8" s="57" customFormat="1" ht="27" customHeight="1">
      <c r="A45" s="58" t="s">
        <v>709</v>
      </c>
      <c r="B45" s="59" t="s">
        <v>656</v>
      </c>
      <c r="C45" s="54">
        <f>IF(Dati!$D$116&gt;0,(Dati!D109/Dati!$D$116),0)</f>
        <v>0</v>
      </c>
      <c r="D45" s="54">
        <f>IF(Dati!$E$116&gt;0,(Dati!E109/Dati!$E$116),0)</f>
        <v>0</v>
      </c>
      <c r="E45" s="54">
        <f>IF(Dati!$F$116&gt;0,(Dati!F109/Dati!$F$116),0)</f>
        <v>0</v>
      </c>
      <c r="F45" s="54">
        <f>IF(Dati!$D$237=3,(Dati!I109+Dati!J109+Dati!Y109)/(Dati!$D$237),(Dati!J109+Dati!Y109)/Dati!$D$237)/IF(Dati!$D$237=3,(Dati!$I$116+Dati!$J$116+Dati!$Y$116)/(Dati!$D$237),(Dati!$J$116+Dati!$Y$116)/Dati!$D$237)</f>
        <v>0</v>
      </c>
      <c r="G45" s="54">
        <f>IF((Dati!D109+Dati!H109)&gt;0,(Dati!G109/(Dati!D109+Dati!H109)),0)</f>
        <v>0</v>
      </c>
      <c r="H45" s="83">
        <f>IF(((IF(Dati!$D$237=3,(Dati!I109+Dati!U109+Dati!J109+Dati!V109+Dati!P109),(Dati!J109+Dati!V109+Dati!P109))/Dati!$D$237)&gt;0),(IF(Dati!$D$237=3,(Dati!L109+Dati!M109+Dati!T109),(Dati!M109+Dati!T109))/Dati!$D$237)/(IF(Dati!$D$237=3,(Dati!I109+Dati!U109+Dati!J109+Dati!V109+Dati!P109),(Dati!J109+Dati!V109+Dati!P109))/Dati!$D$237),0)</f>
        <v>0</v>
      </c>
    </row>
    <row r="46" spans="1:8" s="57" customFormat="1" ht="27" customHeight="1">
      <c r="A46" s="60" t="s">
        <v>710</v>
      </c>
      <c r="B46" s="61" t="s">
        <v>711</v>
      </c>
      <c r="C46" s="54">
        <f>IF(Dati!$D$116&gt;0,(Dati!D110/Dati!$D$116),0)</f>
        <v>0.007443404985428298</v>
      </c>
      <c r="D46" s="54">
        <f>IF(Dati!$E$116&gt;0,(Dati!E110/Dati!$E$116),0)</f>
        <v>0.01639278378353385</v>
      </c>
      <c r="E46" s="54">
        <f>IF(Dati!$F$116&gt;0,(Dati!F110/Dati!$F$116),0)</f>
        <v>0.01765560109354104</v>
      </c>
      <c r="F46" s="54">
        <f>IF(Dati!$D$237=3,(Dati!I110+Dati!J110+Dati!Y110)/(Dati!$D$237),(Dati!J110+Dati!Y110)/Dati!$D$237)/IF(Dati!$D$237=3,(Dati!$I$116+Dati!$J$116+Dati!$Y$116)/(Dati!$D$237),(Dati!$J$116+Dati!$Y$116)/Dati!$D$237)</f>
        <v>0</v>
      </c>
      <c r="G46" s="54">
        <f>IF((Dati!D110+Dati!H110)&gt;0,(Dati!G110/(Dati!D110+Dati!H110)),0)</f>
        <v>1</v>
      </c>
      <c r="H46" s="83">
        <f>IF(((IF(Dati!$D$237=3,(Dati!I110+Dati!U110+Dati!J110+Dati!V110+Dati!P110),(Dati!J110+Dati!V110+Dati!P110))/Dati!$D$237)&gt;0),(IF(Dati!$D$237=3,(Dati!L110+Dati!M110+Dati!T110),(Dati!M110+Dati!T110))/Dati!$D$237)/(IF(Dati!$D$237=3,(Dati!I110+Dati!U110+Dati!J110+Dati!V110+Dati!P110),(Dati!J110+Dati!V110+Dati!P110))/Dati!$D$237),0)</f>
        <v>0</v>
      </c>
    </row>
    <row r="47" spans="1:8" s="57" customFormat="1" ht="27" customHeight="1">
      <c r="A47" s="55" t="s">
        <v>712</v>
      </c>
      <c r="B47" s="61" t="s">
        <v>713</v>
      </c>
      <c r="C47" s="54"/>
      <c r="D47" s="54"/>
      <c r="E47" s="54"/>
      <c r="F47" s="54"/>
      <c r="G47" s="54"/>
      <c r="H47" s="83"/>
    </row>
    <row r="48" spans="1:8" s="57" customFormat="1" ht="27" customHeight="1">
      <c r="A48" s="58" t="s">
        <v>714</v>
      </c>
      <c r="B48" s="59" t="s">
        <v>657</v>
      </c>
      <c r="C48" s="54">
        <f>IF(Dati!$D$116&gt;0,(Dati!D111/Dati!$D$116),0)</f>
        <v>0.14478200608432126</v>
      </c>
      <c r="D48" s="54">
        <f>IF(Dati!$E$116&gt;0,(Dati!E111/Dati!$E$116),0)</f>
        <v>0.14703538954356687</v>
      </c>
      <c r="E48" s="54">
        <f>IF(Dati!$F$116&gt;0,(Dati!F111/Dati!$F$116),0)</f>
        <v>0.15954415706935735</v>
      </c>
      <c r="F48" s="54">
        <f>IF(Dati!$D$237=3,(Dati!I111+Dati!J111+Dati!Y111)/(Dati!$D$237),(Dati!J111+Dati!Y111)/Dati!$D$237)/IF(Dati!$D$237=3,(Dati!$I$116+Dati!$J$116+Dati!$Y$116)/(Dati!$D$237),(Dati!$J$116+Dati!$Y$116)/Dati!$D$237)</f>
        <v>0.0958648630034548</v>
      </c>
      <c r="G48" s="54">
        <f>IF((Dati!D111+Dati!H111)&gt;0,(Dati!G111/(Dati!D111+Dati!H111)),0)</f>
        <v>0</v>
      </c>
      <c r="H48" s="83">
        <f>IF(((IF(Dati!$D$237=3,(Dati!I111+Dati!U111+Dati!J111+Dati!V111+Dati!P111),(Dati!J111+Dati!V111+Dati!P111))/Dati!$D$237)&gt;0),(IF(Dati!$D$237=3,(Dati!L111+Dati!M111+Dati!T111),(Dati!M111+Dati!T111))/Dati!$D$237)/(IF(Dati!$D$237=3,(Dati!I111+Dati!U111+Dati!J111+Dati!V111+Dati!P111),(Dati!J111+Dati!V111+Dati!P111))/Dati!$D$237),0)</f>
        <v>0</v>
      </c>
    </row>
    <row r="49" spans="1:8" s="57" customFormat="1" ht="27" customHeight="1">
      <c r="A49" s="60" t="s">
        <v>715</v>
      </c>
      <c r="B49" s="61" t="s">
        <v>716</v>
      </c>
      <c r="C49" s="54">
        <f>IF(Dati!$D$116&gt;0,(Dati!D112/Dati!$D$116),0)</f>
        <v>0.14478200608432126</v>
      </c>
      <c r="D49" s="54">
        <f>IF(Dati!$E$116&gt;0,(Dati!E112/Dati!$E$116),0)</f>
        <v>0.14703538954356687</v>
      </c>
      <c r="E49" s="54">
        <f>IF(Dati!$F$116&gt;0,(Dati!F112/Dati!$F$116),0)</f>
        <v>0.15954415706935735</v>
      </c>
      <c r="F49" s="54">
        <f>IF(Dati!$D$237=3,(Dati!I112+Dati!J112+Dati!Y112)/(Dati!$D$237),(Dati!J112+Dati!Y112)/Dati!$D$237)/IF(Dati!$D$237=3,(Dati!$I$116+Dati!$J$116+Dati!$Y$116)/(Dati!$D$237),(Dati!$J$116+Dati!$Y$116)/Dati!$D$237)</f>
        <v>0.0958648630034548</v>
      </c>
      <c r="G49" s="54">
        <f>IF((Dati!D112+Dati!H112)&gt;0,(Dati!G112/(Dati!D112+Dati!H112)),0)</f>
        <v>0</v>
      </c>
      <c r="H49" s="83">
        <f>IF(((IF(Dati!$D$237=3,(Dati!I112+Dati!U112+Dati!J112+Dati!V112+Dati!P112),(Dati!J112+Dati!V112+Dati!P112))/Dati!$D$237)&gt;0),(IF(Dati!$D$237=3,(Dati!L112+Dati!M112+Dati!T112),(Dati!M112+Dati!T112))/Dati!$D$237)/(IF(Dati!$D$237=3,(Dati!I112+Dati!U112+Dati!J112+Dati!V112+Dati!P112),(Dati!J112+Dati!V112+Dati!P112))/Dati!$D$237),0)</f>
        <v>0</v>
      </c>
    </row>
    <row r="50" spans="1:8" s="57" customFormat="1" ht="27" customHeight="1">
      <c r="A50" s="55" t="s">
        <v>717</v>
      </c>
      <c r="B50" s="61" t="s">
        <v>718</v>
      </c>
      <c r="C50" s="54"/>
      <c r="D50" s="54"/>
      <c r="E50" s="54"/>
      <c r="F50" s="54"/>
      <c r="G50" s="54"/>
      <c r="H50" s="83"/>
    </row>
    <row r="51" spans="1:8" s="57" customFormat="1" ht="27" customHeight="1">
      <c r="A51" s="58" t="s">
        <v>719</v>
      </c>
      <c r="B51" s="59" t="s">
        <v>658</v>
      </c>
      <c r="C51" s="54">
        <f>IF(Dati!$D$116&gt;0,(Dati!D113/Dati!$D$116),0)</f>
        <v>0.17428707455676326</v>
      </c>
      <c r="D51" s="54">
        <f>IF(Dati!$E$116&gt;0,(Dati!E113/Dati!$E$116),0)</f>
        <v>0.12078203091707741</v>
      </c>
      <c r="E51" s="54">
        <f>IF(Dati!$F$116&gt;0,(Dati!F113/Dati!$F$116),0)</f>
        <v>0.13008646885721037</v>
      </c>
      <c r="F51" s="54">
        <f>IF(Dati!$D$237=3,(Dati!I113+Dati!J113+Dati!Y113)/(Dati!$D$237),(Dati!J113+Dati!Y113)/Dati!$D$237)/IF(Dati!$D$237=3,(Dati!$I$116+Dati!$J$116+Dati!$Y$116)/(Dati!$D$237),(Dati!$J$116+Dati!$Y$116)/Dati!$D$237)</f>
        <v>0.08739680039864216</v>
      </c>
      <c r="G51" s="54">
        <f>IF((Dati!D113+Dati!H113)&gt;0,(Dati!G113/(Dati!D113+Dati!H113)),0)</f>
        <v>1</v>
      </c>
      <c r="H51" s="83">
        <f>IF(((IF(Dati!$D$237=3,(Dati!I113+Dati!U113+Dati!J113+Dati!V113+Dati!P113),(Dati!J113+Dati!V113+Dati!P113))/Dati!$D$237)&gt;0),(IF(Dati!$D$237=3,(Dati!L113+Dati!M113+Dati!T113),(Dati!M113+Dati!T113))/Dati!$D$237)/(IF(Dati!$D$237=3,(Dati!I113+Dati!U113+Dati!J113+Dati!V113+Dati!P113),(Dati!J113+Dati!V113+Dati!P113))/Dati!$D$237),0)</f>
        <v>0.999319809823365</v>
      </c>
    </row>
    <row r="52" spans="1:8" s="57" customFormat="1" ht="27" customHeight="1">
      <c r="A52" s="58" t="s">
        <v>720</v>
      </c>
      <c r="B52" s="59" t="s">
        <v>659</v>
      </c>
      <c r="C52" s="54">
        <f>IF(Dati!$D$116&gt;0,(Dati!D114/Dati!$D$116),0)</f>
        <v>0.01873510098373109</v>
      </c>
      <c r="D52" s="54">
        <f>IF(Dati!$E$116&gt;0,(Dati!E114/Dati!$E$116),0)</f>
        <v>0.0242613199996301</v>
      </c>
      <c r="E52" s="54">
        <f>IF(Dati!$F$116&gt;0,(Dati!F114/Dati!$F$116),0)</f>
        <v>0.026130289618440737</v>
      </c>
      <c r="F52" s="54">
        <f>IF(Dati!$D$237=3,(Dati!I114+Dati!J114+Dati!Y114)/(Dati!$D$237),(Dati!J114+Dati!Y114)/Dati!$D$237)/IF(Dati!$D$237=3,(Dati!$I$116+Dati!$J$116+Dati!$Y$116)/(Dati!$D$237),(Dati!$J$116+Dati!$Y$116)/Dati!$D$237)</f>
        <v>0.01354201271501305</v>
      </c>
      <c r="G52" s="54">
        <f>IF((Dati!D114+Dati!H114)&gt;0,(Dati!G114/(Dati!D114+Dati!H114)),0)</f>
        <v>1</v>
      </c>
      <c r="H52" s="83">
        <f>IF(((IF(Dati!$D$237=3,(Dati!I114+Dati!U114+Dati!J114+Dati!V114+Dati!P114),(Dati!J114+Dati!V114+Dati!P114))/Dati!$D$237)&gt;0),(IF(Dati!$D$237=3,(Dati!L114+Dati!M114+Dati!T114),(Dati!M114+Dati!T114))/Dati!$D$237)/(IF(Dati!$D$237=3,(Dati!I114+Dati!U114+Dati!J114+Dati!V114+Dati!P114),(Dati!J114+Dati!V114+Dati!P114))/Dati!$D$237),0)</f>
        <v>0.9763806383109778</v>
      </c>
    </row>
    <row r="53" spans="1:8" s="57" customFormat="1" ht="27" customHeight="1">
      <c r="A53" s="60" t="s">
        <v>721</v>
      </c>
      <c r="B53" s="61" t="s">
        <v>722</v>
      </c>
      <c r="C53" s="54">
        <f>IF(Dati!$D$116&gt;0,(Dati!D115/Dati!$D$116),0)</f>
        <v>0.19302217554049436</v>
      </c>
      <c r="D53" s="54">
        <f>IF(Dati!$E$116&gt;0,(Dati!E115/Dati!$E$116),0)</f>
        <v>0.1450433509167075</v>
      </c>
      <c r="E53" s="54">
        <f>IF(Dati!$F$116&gt;0,(Dati!F115/Dati!$F$116),0)</f>
        <v>0.1562167584756511</v>
      </c>
      <c r="F53" s="54">
        <f>IF(Dati!$D$237=3,(Dati!I115+Dati!J115+Dati!Y115)/(Dati!$D$237),(Dati!J115+Dati!Y115)/Dati!$D$237)/IF(Dati!$D$237=3,(Dati!$I$116+Dati!$J$116+Dati!$Y$116)/(Dati!$D$237),(Dati!$J$116+Dati!$Y$116)/Dati!$D$237)</f>
        <v>0.10093881311365521</v>
      </c>
      <c r="G53" s="54">
        <f>IF((Dati!D115+Dati!H115)&gt;0,(Dati!G115/(Dati!D115+Dati!H115)),0)</f>
        <v>1</v>
      </c>
      <c r="H53" s="83">
        <f>IF(((IF(Dati!$D$237=3,(Dati!I115+Dati!U115+Dati!J115+Dati!V115+Dati!P115),(Dati!J115+Dati!V115+Dati!P115))/Dati!$D$237)&gt;0),(IF(Dati!$D$237=3,(Dati!L115+Dati!M115+Dati!T115),(Dati!M115+Dati!T115))/Dati!$D$237)/(IF(Dati!$D$237=3,(Dati!I115+Dati!U115+Dati!J115+Dati!V115+Dati!P115),(Dati!J115+Dati!V115+Dati!P115))/Dati!$D$237),0)</f>
        <v>0.9961634601165991</v>
      </c>
    </row>
    <row r="54" spans="1:8" s="57" customFormat="1" ht="27" customHeight="1">
      <c r="A54" s="161" t="s">
        <v>723</v>
      </c>
      <c r="B54" s="161"/>
      <c r="C54" s="54">
        <f>IF(Dati!$D$116&gt;0,(Dati!D116/Dati!$D$116),0)</f>
        <v>1</v>
      </c>
      <c r="D54" s="54">
        <f>IF(Dati!$E$116&gt;0,(Dati!E116/Dati!$E$116),0)</f>
        <v>1</v>
      </c>
      <c r="E54" s="54">
        <f>IF(Dati!$F$116&gt;0,(Dati!F116/Dati!$F$116),0)</f>
        <v>1</v>
      </c>
      <c r="F54" s="54">
        <f>IF(Dati!$D$237=3,(Dati!I116+Dati!J116+Dati!Y116)/(Dati!$D$237),(Dati!J116+Dati!Y116)/Dati!$D$237)/IF(Dati!$D$237=3,(Dati!$I$116+Dati!$J$116+Dati!$Y$116)/(Dati!$D$237),(Dati!$J$116+Dati!$Y$116)/Dati!$D$237)</f>
        <v>1</v>
      </c>
      <c r="G54" s="54">
        <f>IF((Dati!D116+Dati!H116)&gt;0,(Dati!G116/(Dati!D116+Dati!H116)),0)</f>
        <v>0.7987123101433786</v>
      </c>
      <c r="H54" s="83">
        <f>IF(((IF(Dati!$D$237=3,(Dati!I116+Dati!U116+Dati!J116+Dati!V116+Dati!P116),(Dati!J116+Dati!V116+Dati!P116))/Dati!$D$237)&gt;0),(IF(Dati!$D$237=3,(Dati!L116+Dati!M116+Dati!T116),(Dati!M116+Dati!T116))/Dati!$D$237)/(IF(Dati!$D$237=3,(Dati!I116+Dati!U116+Dati!J116+Dati!V116+Dati!P116),(Dati!J116+Dati!V116+Dati!P116))/Dati!$D$237),0)</f>
        <v>0.713976752218606</v>
      </c>
    </row>
    <row r="55" spans="1:8" ht="38.25" customHeight="1">
      <c r="A55" s="156" t="s">
        <v>660</v>
      </c>
      <c r="B55" s="157"/>
      <c r="C55" s="157"/>
      <c r="D55" s="157"/>
      <c r="E55" s="157"/>
      <c r="F55" s="157"/>
      <c r="G55" s="157"/>
      <c r="H55" s="157"/>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V14" sqref="V14"/>
    </sheetView>
  </sheetViews>
  <sheetFormatPr defaultColWidth="9.00390625" defaultRowHeight="15"/>
  <cols>
    <col min="1" max="1" width="21.421875" style="15" customWidth="1"/>
    <col min="2" max="2" width="7.00390625" style="82" customWidth="1"/>
    <col min="3" max="3" width="33.421875" style="3" customWidth="1"/>
    <col min="4" max="4" width="19.7109375" style="47" customWidth="1"/>
    <col min="5" max="5" width="17.57421875" style="47" customWidth="1"/>
    <col min="6" max="6" width="12.57421875" style="47" customWidth="1"/>
    <col min="7" max="7" width="19.7109375" style="47" customWidth="1"/>
    <col min="8" max="8" width="17.57421875" style="47" customWidth="1"/>
    <col min="9" max="9" width="19.7109375" style="47" customWidth="1"/>
    <col min="10" max="10" width="17.57421875" style="47" customWidth="1"/>
    <col min="11" max="12" width="12.57421875" style="47" customWidth="1"/>
    <col min="13" max="13" width="15.8515625" style="47" customWidth="1"/>
    <col min="14" max="16384" width="9.00390625" style="47" customWidth="1"/>
  </cols>
  <sheetData>
    <row r="1" spans="1:6" s="34" customFormat="1" ht="12.75" customHeight="1">
      <c r="A1" s="64" t="str">
        <f>CONCATENATE("Denominazione Ente: ",Dati!D230," - ",Dati!D231)</f>
        <v>Denominazione Ente: COMUNE DI ALZANO LOMBARDO - PROVINCIA DI BERGAMO</v>
      </c>
      <c r="B1" s="74"/>
      <c r="C1" s="63"/>
      <c r="D1" s="33"/>
      <c r="E1" s="33"/>
      <c r="F1" s="33"/>
    </row>
    <row r="2" spans="1:12" s="34" customFormat="1" ht="12.75" customHeight="1">
      <c r="A2" s="64"/>
      <c r="B2" s="75"/>
      <c r="C2" s="63"/>
      <c r="D2" s="36"/>
      <c r="F2" s="38"/>
      <c r="L2" s="37" t="s">
        <v>729</v>
      </c>
    </row>
    <row r="3" spans="1:13" s="34" customFormat="1" ht="18" customHeight="1">
      <c r="A3" s="144" t="s">
        <v>445</v>
      </c>
      <c r="B3" s="144"/>
      <c r="C3" s="144"/>
      <c r="D3" s="144"/>
      <c r="E3" s="144"/>
      <c r="F3" s="144"/>
      <c r="G3" s="150"/>
      <c r="H3" s="150"/>
      <c r="I3" s="150"/>
      <c r="J3" s="150"/>
      <c r="K3" s="150"/>
      <c r="L3" s="150"/>
      <c r="M3" s="150"/>
    </row>
    <row r="4" spans="1:13" s="34" customFormat="1" ht="15" customHeight="1">
      <c r="A4" s="151" t="s">
        <v>730</v>
      </c>
      <c r="B4" s="153"/>
      <c r="C4" s="153"/>
      <c r="D4" s="153"/>
      <c r="E4" s="153"/>
      <c r="F4" s="153"/>
      <c r="G4" s="153"/>
      <c r="H4" s="153"/>
      <c r="I4" s="153"/>
      <c r="J4" s="153"/>
      <c r="K4" s="153"/>
      <c r="L4" s="153"/>
      <c r="M4" s="153"/>
    </row>
    <row r="5" spans="1:12" s="34" customFormat="1" ht="15" customHeight="1">
      <c r="A5" s="151" t="str">
        <f>CONCATENATE("                                                Bilancio di Previsione esercizi ",Dati!D232,",",Dati!D233," e ",Dati!D234)</f>
        <v>                                                Bilancio di Previsione esercizi 2019,2020 e 2021</v>
      </c>
      <c r="B5" s="152"/>
      <c r="C5" s="152"/>
      <c r="D5" s="153"/>
      <c r="E5" s="153"/>
      <c r="F5" s="153"/>
      <c r="G5" s="153"/>
      <c r="H5" s="153"/>
      <c r="I5" s="153"/>
      <c r="J5" s="162" t="str">
        <f>CONCATENATE("approvato il ")</f>
        <v>approvato il </v>
      </c>
      <c r="K5" s="163"/>
      <c r="L5" s="53">
        <f>IF(Dati!$D$235&lt;&gt;"",Dati!$D$235,"")</f>
      </c>
    </row>
    <row r="6" spans="1:8" s="34" customFormat="1" ht="15" customHeight="1">
      <c r="A6" s="154"/>
      <c r="B6" s="154"/>
      <c r="C6" s="154"/>
      <c r="D6" s="154"/>
      <c r="E6" s="154"/>
      <c r="F6" s="154"/>
      <c r="G6" s="155"/>
      <c r="H6" s="155"/>
    </row>
    <row r="7" spans="1:13" ht="42" customHeight="1">
      <c r="A7" s="181" t="s">
        <v>558</v>
      </c>
      <c r="B7" s="181"/>
      <c r="C7" s="181"/>
      <c r="D7" s="168" t="str">
        <f>CONCATENATE("BILANCIO DI PREVISIONE ESERCIZI ",Dati!D232,Dati!D233,Dati!D234," (dati percentuali)")</f>
        <v>BILANCIO DI PREVISIONE ESERCIZI 201920202021 (dati percentuali)</v>
      </c>
      <c r="E7" s="168"/>
      <c r="F7" s="168"/>
      <c r="G7" s="168"/>
      <c r="H7" s="168"/>
      <c r="I7" s="168"/>
      <c r="J7" s="168"/>
      <c r="K7" s="168" t="s">
        <v>731</v>
      </c>
      <c r="L7" s="168"/>
      <c r="M7" s="168"/>
    </row>
    <row r="8" spans="1:13" ht="12" customHeight="1">
      <c r="A8" s="181" t="s">
        <v>558</v>
      </c>
      <c r="B8" s="189"/>
      <c r="C8" s="189"/>
      <c r="D8" s="166" t="s">
        <v>740</v>
      </c>
      <c r="E8" s="167"/>
      <c r="F8" s="69" t="str">
        <f>Dati!D232</f>
        <v>2019</v>
      </c>
      <c r="G8" s="68" t="s">
        <v>740</v>
      </c>
      <c r="H8" s="69">
        <f>Dati!D233</f>
        <v>2020</v>
      </c>
      <c r="I8" s="68" t="s">
        <v>740</v>
      </c>
      <c r="J8" s="69">
        <f>Dati!D234</f>
        <v>2021</v>
      </c>
      <c r="K8" s="186" t="s">
        <v>752</v>
      </c>
      <c r="L8" s="188" t="s">
        <v>743</v>
      </c>
      <c r="M8" s="188" t="s">
        <v>733</v>
      </c>
    </row>
    <row r="9" spans="1:13" ht="85.5" customHeight="1">
      <c r="A9" s="181" t="s">
        <v>558</v>
      </c>
      <c r="B9" s="189"/>
      <c r="C9" s="189"/>
      <c r="D9" s="67" t="s">
        <v>734</v>
      </c>
      <c r="E9" s="66" t="s">
        <v>741</v>
      </c>
      <c r="F9" s="66" t="s">
        <v>742</v>
      </c>
      <c r="G9" s="67" t="s">
        <v>734</v>
      </c>
      <c r="H9" s="66" t="s">
        <v>741</v>
      </c>
      <c r="I9" s="67" t="s">
        <v>734</v>
      </c>
      <c r="J9" s="66" t="s">
        <v>741</v>
      </c>
      <c r="K9" s="187" t="s">
        <v>735</v>
      </c>
      <c r="L9" s="187" t="s">
        <v>732</v>
      </c>
      <c r="M9" s="187" t="s">
        <v>733</v>
      </c>
    </row>
    <row r="10" spans="1:13" ht="12.75" customHeight="1">
      <c r="A10" s="180" t="s">
        <v>746</v>
      </c>
      <c r="B10" s="76" t="s">
        <v>560</v>
      </c>
      <c r="C10" s="77" t="s">
        <v>238</v>
      </c>
      <c r="D10" s="54">
        <f>IF(Dati!$D$227&gt;0,(Dati!D123/Dati!$D$227),0)</f>
        <v>0.005571199279610053</v>
      </c>
      <c r="E10" s="54">
        <f>IF(Dati!$E$227&gt;0,(Dati!E123/Dati!$E$227),0)</f>
        <v>0</v>
      </c>
      <c r="F10" s="54">
        <f>IF((Dati!D123-Dati!E123+Dati!K123)&gt;0,((Dati!J123)/(Dati!D123-Dati!E123+Dati!K123)),0)</f>
        <v>1</v>
      </c>
      <c r="G10" s="54">
        <f>IF(Dati!$F$227&gt;0,(Dati!F123/Dati!$F$227),0)</f>
        <v>0.007291182371240186</v>
      </c>
      <c r="H10" s="54">
        <f>IF(Dati!$G$227&gt;0,(Dati!G123/Dati!$G$227),0)</f>
        <v>0</v>
      </c>
      <c r="I10" s="54">
        <f>IF(Dati!$H$227&gt;0,(Dati!H123/Dati!$H$227),0)</f>
        <v>0.007603914278966254</v>
      </c>
      <c r="J10" s="54">
        <f>IF(Dati!$I$227&gt;0,(Dati!I123/Dati!$I$227),0)</f>
        <v>0</v>
      </c>
      <c r="K10" s="54">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0.008076326210637802</v>
      </c>
      <c r="L10" s="83">
        <f>IF((IF(Dati!$D$237=3,(Dati!$M$227+Dati!$O$227+Dati!$Q$227),(Dati!$O$227+Dati!$Q$227)/Dati!$D$237))&gt;0,((IF(Dati!$D$237=3,(Dati!M123+Dati!O123+Dati!Q123),(Dati!O123+Dati!Q123)/Dati!$D$237)/(IF(Dati!$D$237=3,(Dati!$M$227+Dati!$O$227+Dati!$Q$227),(Dati!$O$227+Dati!$Q$227)/Dati!$D$237)))),0)</f>
        <v>0</v>
      </c>
      <c r="M10" s="83">
        <f>IF((IF(Dati!$D$237=3,(Dati!L123+Dati!N123+Dati!Y123+Dati!U123+Dati!V123+Dati!W123),(Dati!N123+Dati!Y123+Dati!V123+Dati!W123)/Dati!$D$237))&gt;0,((IF(Dati!$D$237=3,(Dati!R123+Dati!S123+Dati!AC123),(Dati!S123+Dati!AC123)/Dati!$D$237)/(IF(Dati!$D$237=3,(Dati!L123+Dati!N123+Dati!Y123+Dati!U123+Dati!V123+Dati!W123),(Dati!N123+Dati!Y123+Dati!V123+Dati!W123)/Dati!$D$237)))),0)</f>
        <v>0.9607956029142954</v>
      </c>
    </row>
    <row r="11" spans="1:13" ht="12" customHeight="1">
      <c r="A11" s="181" t="s">
        <v>559</v>
      </c>
      <c r="B11" s="76" t="s">
        <v>561</v>
      </c>
      <c r="C11" s="77" t="s">
        <v>240</v>
      </c>
      <c r="D11" s="54">
        <f>IF(Dati!$D$227&gt;0,(Dati!D124/Dati!$D$227),0)</f>
        <v>0.02078297488797011</v>
      </c>
      <c r="E11" s="54">
        <f>IF(Dati!$E$227&gt;0,(Dati!E124/Dati!$E$227),0)</f>
        <v>0</v>
      </c>
      <c r="F11" s="54">
        <f>IF((Dati!D124-Dati!E124+Dati!K124)&gt;0,((Dati!J124)/(Dati!D124-Dati!E124+Dati!K124)),0)</f>
        <v>1</v>
      </c>
      <c r="G11" s="54">
        <f>IF(Dati!$F$227&gt;0,(Dati!F124/Dati!$F$227),0)</f>
        <v>0.026774409816162595</v>
      </c>
      <c r="H11" s="54">
        <f>IF(Dati!$G$227&gt;0,(Dati!G124/Dati!$G$227),0)</f>
        <v>0</v>
      </c>
      <c r="I11" s="54">
        <f>IF(Dati!$H$227&gt;0,(Dati!H124/Dati!$H$227),0)</f>
        <v>0.02883697518806965</v>
      </c>
      <c r="J11" s="54">
        <f>IF(Dati!$I$227&gt;0,(Dati!I124/Dati!$I$227),0)</f>
        <v>0</v>
      </c>
      <c r="K11" s="54">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0.032178003339282585</v>
      </c>
      <c r="L11" s="83">
        <f>IF((IF(Dati!$D$237=3,(Dati!$M$227+Dati!$O$227+Dati!$Q$227),(Dati!$O$227+Dati!$Q$227)/Dati!$D$237))&gt;0,((IF(Dati!$D$237=3,(Dati!M124+Dati!O124+Dati!Q124),(Dati!O124+Dati!Q124)/Dati!$D$237)/(IF(Dati!$D$237=3,(Dati!$M$227+Dati!$O$227+Dati!$Q$227),(Dati!$O$227+Dati!$Q$227)/Dati!$D$237)))),0)</f>
        <v>0.025832991926565553</v>
      </c>
      <c r="M11" s="83">
        <f>IF((IF(Dati!$D$237=3,(Dati!L124+Dati!N124+Dati!Y124+Dati!U124+Dati!V124+Dati!W124),(Dati!N124+Dati!Y124+Dati!V124+Dati!W124)/Dati!$D$237))&gt;0,((IF(Dati!$D$237=3,(Dati!R124+Dati!S124+Dati!AC124),(Dati!S124+Dati!AC124)/Dati!$D$237)/(IF(Dati!$D$237=3,(Dati!L124+Dati!N124+Dati!Y124+Dati!U124+Dati!V124+Dati!W124),(Dati!N124+Dati!Y124+Dati!V124+Dati!W124)/Dati!$D$237)))),0)</f>
        <v>0.9700932685942553</v>
      </c>
    </row>
    <row r="12" spans="1:13" ht="41.25" customHeight="1">
      <c r="A12" s="181" t="s">
        <v>559</v>
      </c>
      <c r="B12" s="78" t="s">
        <v>583</v>
      </c>
      <c r="C12" s="60" t="s">
        <v>242</v>
      </c>
      <c r="D12" s="54">
        <f>IF(Dati!$D$227&gt;0,(Dati!D125/Dati!$D$227),0)</f>
        <v>0.009713952929101531</v>
      </c>
      <c r="E12" s="54">
        <f>IF(Dati!$E$227&gt;0,(Dati!E125/Dati!$E$227),0)</f>
        <v>0</v>
      </c>
      <c r="F12" s="54">
        <f>IF((Dati!D125-Dati!E125+Dati!K125)&gt;0,((Dati!J125)/(Dati!D125-Dati!E125+Dati!K125)),0)</f>
        <v>1.0000000000000002</v>
      </c>
      <c r="G12" s="54">
        <f>IF(Dati!$F$227&gt;0,(Dati!F125/Dati!$F$227),0)</f>
        <v>0.01325672949625734</v>
      </c>
      <c r="H12" s="54">
        <f>IF(Dati!$G$227&gt;0,(Dati!G125/Dati!$G$227),0)</f>
        <v>0</v>
      </c>
      <c r="I12" s="54">
        <f>IF(Dati!$H$227&gt;0,(Dati!H125/Dati!$H$227),0)</f>
        <v>0.014296294591314518</v>
      </c>
      <c r="J12" s="54">
        <f>IF(Dati!$I$227&gt;0,(Dati!I125/Dati!$I$227),0)</f>
        <v>0</v>
      </c>
      <c r="K12" s="54">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0.010554504616146558</v>
      </c>
      <c r="L12" s="83">
        <f>IF((IF(Dati!$D$237=3,(Dati!$M$227+Dati!$O$227+Dati!$Q$227),(Dati!$O$227+Dati!$Q$227)/Dati!$D$237))&gt;0,((IF(Dati!$D$237=3,(Dati!M125+Dati!O125+Dati!Q125),(Dati!O125+Dati!Q125)/Dati!$D$237)/(IF(Dati!$D$237=3,(Dati!$M$227+Dati!$O$227+Dati!$Q$227),(Dati!$O$227+Dati!$Q$227)/Dati!$D$237)))),0)</f>
        <v>0.0011664938145688533</v>
      </c>
      <c r="M12" s="83">
        <f>IF((IF(Dati!$D$237=3,(Dati!L125+Dati!N125+Dati!Y125+Dati!U125+Dati!V125+Dati!W125),(Dati!N125+Dati!Y125+Dati!V125+Dati!W125)/Dati!$D$237))&gt;0,((IF(Dati!$D$237=3,(Dati!R125+Dati!S125+Dati!AC125),(Dati!S125+Dati!AC125)/Dati!$D$237)/(IF(Dati!$D$237=3,(Dati!L125+Dati!N125+Dati!Y125+Dati!U125+Dati!V125+Dati!W125),(Dati!N125+Dati!Y125+Dati!V125+Dati!W125)/Dati!$D$237)))),0)</f>
        <v>0.9791914772548</v>
      </c>
    </row>
    <row r="13" spans="1:13" ht="29.25" customHeight="1">
      <c r="A13" s="181" t="s">
        <v>559</v>
      </c>
      <c r="B13" s="79" t="s">
        <v>563</v>
      </c>
      <c r="C13" s="60" t="s">
        <v>737</v>
      </c>
      <c r="D13" s="54">
        <f>IF(Dati!$D$227&gt;0,(Dati!D126/Dati!$D$227),0)</f>
        <v>0.006074618480759052</v>
      </c>
      <c r="E13" s="54">
        <f>IF(Dati!$E$227&gt;0,(Dati!E126/Dati!$E$227),0)</f>
        <v>0</v>
      </c>
      <c r="F13" s="54">
        <f>IF((Dati!D126-Dati!E126+Dati!K126)&gt;0,((Dati!J126)/(Dati!D126-Dati!E126+Dati!K126)),0)</f>
        <v>1</v>
      </c>
      <c r="G13" s="54">
        <f>IF(Dati!$F$227&gt;0,(Dati!F126/Dati!$F$227),0)</f>
        <v>0.00856866217582071</v>
      </c>
      <c r="H13" s="54">
        <f>IF(Dati!$G$227&gt;0,(Dati!G126/Dati!$G$227),0)</f>
        <v>0</v>
      </c>
      <c r="I13" s="54">
        <f>IF(Dati!$H$227&gt;0,(Dati!H126/Dati!$H$227),0)</f>
        <v>0.009228748654244182</v>
      </c>
      <c r="J13" s="54">
        <f>IF(Dati!$I$227&gt;0,(Dati!I126/Dati!$I$227),0)</f>
        <v>0</v>
      </c>
      <c r="K13" s="54">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0.007298763597454167</v>
      </c>
      <c r="L13" s="83">
        <f>IF((IF(Dati!$D$237=3,(Dati!$M$227+Dati!$O$227+Dati!$Q$227),(Dati!$O$227+Dati!$Q$227)/Dati!$D$237))&gt;0,((IF(Dati!$D$237=3,(Dati!M126+Dati!O126+Dati!Q126),(Dati!O126+Dati!Q126)/Dati!$D$237)/(IF(Dati!$D$237=3,(Dati!$M$227+Dati!$O$227+Dati!$Q$227),(Dati!$O$227+Dati!$Q$227)/Dati!$D$237)))),0)</f>
        <v>0.0011929015086836693</v>
      </c>
      <c r="M13" s="83">
        <f>IF((IF(Dati!$D$237=3,(Dati!L126+Dati!N126+Dati!Y126+Dati!U126+Dati!V126+Dati!W126),(Dati!N126+Dati!Y126+Dati!V126+Dati!W126)/Dati!$D$237))&gt;0,((IF(Dati!$D$237=3,(Dati!R126+Dati!S126+Dati!AC126),(Dati!S126+Dati!AC126)/Dati!$D$237)/(IF(Dati!$D$237=3,(Dati!L126+Dati!N126+Dati!Y126+Dati!U126+Dati!V126+Dati!W126),(Dati!N126+Dati!Y126+Dati!V126+Dati!W126)/Dati!$D$237)))),0)</f>
        <v>0.9248427136707077</v>
      </c>
    </row>
    <row r="14" spans="1:13" ht="27.75" customHeight="1">
      <c r="A14" s="181" t="s">
        <v>559</v>
      </c>
      <c r="B14" s="78" t="s">
        <v>575</v>
      </c>
      <c r="C14" s="60" t="s">
        <v>744</v>
      </c>
      <c r="D14" s="54">
        <f>IF(Dati!$D$227&gt;0,(Dati!D127/Dati!$D$227),0)</f>
        <v>0.013726700184481343</v>
      </c>
      <c r="E14" s="54">
        <f>IF(Dati!$E$227&gt;0,(Dati!E127/Dati!$E$227),0)</f>
        <v>0</v>
      </c>
      <c r="F14" s="54">
        <f>IF((Dati!D127-Dati!E127+Dati!K127)&gt;0,((Dati!J127)/(Dati!D127-Dati!E127+Dati!K127)),0)</f>
        <v>1</v>
      </c>
      <c r="G14" s="54">
        <f>IF(Dati!$F$227&gt;0,(Dati!F127/Dati!$F$227),0)</f>
        <v>0.01309160760805121</v>
      </c>
      <c r="H14" s="54">
        <f>IF(Dati!$G$227&gt;0,(Dati!G127/Dati!$G$227),0)</f>
        <v>0</v>
      </c>
      <c r="I14" s="54">
        <f>IF(Dati!$H$227&gt;0,(Dati!H127/Dati!$H$227),0)</f>
        <v>0.01406273005689615</v>
      </c>
      <c r="J14" s="54">
        <f>IF(Dati!$I$227&gt;0,(Dati!I127/Dati!$I$227),0)</f>
        <v>0</v>
      </c>
      <c r="K14" s="54">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0.015195723764273831</v>
      </c>
      <c r="L14" s="83">
        <f>IF((IF(Dati!$D$237=3,(Dati!$M$227+Dati!$O$227+Dati!$Q$227),(Dati!$O$227+Dati!$Q$227)/Dati!$D$237))&gt;0,((IF(Dati!$D$237=3,(Dati!M127+Dati!O127+Dati!Q127),(Dati!O127+Dati!Q127)/Dati!$D$237)/(IF(Dati!$D$237=3,(Dati!$M$227+Dati!$O$227+Dati!$Q$227),(Dati!$O$227+Dati!$Q$227)/Dati!$D$237)))),0)</f>
        <v>0.0015539499091810247</v>
      </c>
      <c r="M14" s="83">
        <f>IF((IF(Dati!$D$237=3,(Dati!L127+Dati!N127+Dati!Y127+Dati!U127+Dati!V127+Dati!W127),(Dati!N127+Dati!Y127+Dati!V127+Dati!W127)/Dati!$D$237))&gt;0,((IF(Dati!$D$237=3,(Dati!R127+Dati!S127+Dati!AC127),(Dati!S127+Dati!AC127)/Dati!$D$237)/(IF(Dati!$D$237=3,(Dati!L127+Dati!N127+Dati!Y127+Dati!U127+Dati!V127+Dati!W127),(Dati!N127+Dati!Y127+Dati!V127+Dati!W127)/Dati!$D$237)))),0)</f>
        <v>0.962158436746422</v>
      </c>
    </row>
    <row r="15" spans="1:13" ht="12" customHeight="1">
      <c r="A15" s="181" t="s">
        <v>559</v>
      </c>
      <c r="B15" s="76" t="s">
        <v>565</v>
      </c>
      <c r="C15" s="77" t="s">
        <v>248</v>
      </c>
      <c r="D15" s="54">
        <f>IF(Dati!$D$227&gt;0,(Dati!D128/Dati!$D$227),0)</f>
        <v>0.0019644963662238325</v>
      </c>
      <c r="E15" s="54">
        <f>IF(Dati!$E$227&gt;0,(Dati!E128/Dati!$E$227),0)</f>
        <v>0</v>
      </c>
      <c r="F15" s="54">
        <f>IF((Dati!D128-Dati!E128+Dati!K128)&gt;0,((Dati!J128)/(Dati!D128-Dati!E128+Dati!K128)),0)</f>
        <v>0.9999999999999999</v>
      </c>
      <c r="G15" s="54">
        <f>IF(Dati!$F$227&gt;0,(Dati!F128/Dati!$F$227),0)</f>
        <v>0.0014820650247557821</v>
      </c>
      <c r="H15" s="54">
        <f>IF(Dati!$G$227&gt;0,(Dati!G128/Dati!$G$227),0)</f>
        <v>0</v>
      </c>
      <c r="I15" s="54">
        <f>IF(Dati!$H$227&gt;0,(Dati!H128/Dati!$H$227),0)</f>
        <v>0.001596235832626608</v>
      </c>
      <c r="J15" s="54">
        <f>IF(Dati!$I$227&gt;0,(Dati!I128/Dati!$I$227),0)</f>
        <v>0</v>
      </c>
      <c r="K15" s="54">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0.0040882596775262</v>
      </c>
      <c r="L15" s="83">
        <f>IF((IF(Dati!$D$237=3,(Dati!$M$227+Dati!$O$227+Dati!$Q$227),(Dati!$O$227+Dati!$Q$227)/Dati!$D$237))&gt;0,((IF(Dati!$D$237=3,(Dati!M128+Dati!O128+Dati!Q128),(Dati!O128+Dati!Q128)/Dati!$D$237)/(IF(Dati!$D$237=3,(Dati!$M$227+Dati!$O$227+Dati!$Q$227),(Dati!$O$227+Dati!$Q$227)/Dati!$D$237)))),0)</f>
        <v>0.004194826756358761</v>
      </c>
      <c r="M15" s="83">
        <f>IF((IF(Dati!$D$237=3,(Dati!L128+Dati!N128+Dati!Y128+Dati!U128+Dati!V128+Dati!W128),(Dati!N128+Dati!Y128+Dati!V128+Dati!W128)/Dati!$D$237))&gt;0,((IF(Dati!$D$237=3,(Dati!R128+Dati!S128+Dati!AC128),(Dati!S128+Dati!AC128)/Dati!$D$237)/(IF(Dati!$D$237=3,(Dati!L128+Dati!N128+Dati!Y128+Dati!U128+Dati!V128+Dati!W128),(Dati!N128+Dati!Y128+Dati!V128+Dati!W128)/Dati!$D$237)))),0)</f>
        <v>0.9537189611203784</v>
      </c>
    </row>
    <row r="16" spans="1:13" ht="37.5" customHeight="1">
      <c r="A16" s="181" t="s">
        <v>559</v>
      </c>
      <c r="B16" s="78" t="s">
        <v>576</v>
      </c>
      <c r="C16" s="60" t="s">
        <v>250</v>
      </c>
      <c r="D16" s="54">
        <f>IF(Dati!$D$227&gt;0,(Dati!D129/Dati!$D$227),0)</f>
        <v>0.010396863313829982</v>
      </c>
      <c r="E16" s="54">
        <f>IF(Dati!$E$227&gt;0,(Dati!E129/Dati!$E$227),0)</f>
        <v>0</v>
      </c>
      <c r="F16" s="54">
        <f>IF((Dati!D129-Dati!E129+Dati!K129)&gt;0,((Dati!J129)/(Dati!D129-Dati!E129+Dati!K129)),0)</f>
        <v>1</v>
      </c>
      <c r="G16" s="54">
        <f>IF(Dati!$F$227&gt;0,(Dati!F129/Dati!$F$227),0)</f>
        <v>0.00925569685841564</v>
      </c>
      <c r="H16" s="54">
        <f>IF(Dati!$G$227&gt;0,(Dati!G129/Dati!$G$227),0)</f>
        <v>0</v>
      </c>
      <c r="I16" s="54">
        <f>IF(Dati!$H$227&gt;0,(Dati!H129/Dati!$H$227),0)</f>
        <v>0.009968709020555359</v>
      </c>
      <c r="J16" s="54">
        <f>IF(Dati!$I$227&gt;0,(Dati!I129/Dati!$I$227),0)</f>
        <v>0</v>
      </c>
      <c r="K16" s="54">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0.013466598479459267</v>
      </c>
      <c r="L16" s="83">
        <f>IF((IF(Dati!$D$237=3,(Dati!$M$227+Dati!$O$227+Dati!$Q$227),(Dati!$O$227+Dati!$Q$227)/Dati!$D$237))&gt;0,((IF(Dati!$D$237=3,(Dati!M129+Dati!O129+Dati!Q129),(Dati!O129+Dati!Q129)/Dati!$D$237)/(IF(Dati!$D$237=3,(Dati!$M$227+Dati!$O$227+Dati!$Q$227),(Dati!$O$227+Dati!$Q$227)/Dati!$D$237)))),0)</f>
        <v>0.006068075554511439</v>
      </c>
      <c r="M16" s="83">
        <f>IF((IF(Dati!$D$237=3,(Dati!L129+Dati!N129+Dati!Y129+Dati!U129+Dati!V129+Dati!W129),(Dati!N129+Dati!Y129+Dati!V129+Dati!W129)/Dati!$D$237))&gt;0,((IF(Dati!$D$237=3,(Dati!R129+Dati!S129+Dati!AC129),(Dati!S129+Dati!AC129)/Dati!$D$237)/(IF(Dati!$D$237=3,(Dati!L129+Dati!N129+Dati!Y129+Dati!U129+Dati!V129+Dati!W129),(Dati!N129+Dati!Y129+Dati!V129+Dati!W129)/Dati!$D$237)))),0)</f>
        <v>0.9909920483231445</v>
      </c>
    </row>
    <row r="17" spans="1:13" ht="12" customHeight="1">
      <c r="A17" s="181" t="s">
        <v>559</v>
      </c>
      <c r="B17" s="76" t="s">
        <v>567</v>
      </c>
      <c r="C17" s="77" t="s">
        <v>252</v>
      </c>
      <c r="D17" s="54">
        <f>IF(Dati!$D$227&gt;0,(Dati!D130/Dati!$D$227),0)</f>
        <v>0.005748887345368504</v>
      </c>
      <c r="E17" s="54">
        <f>IF(Dati!$E$227&gt;0,(Dati!E130/Dati!$E$227),0)</f>
        <v>0</v>
      </c>
      <c r="F17" s="54">
        <f>IF((Dati!D130-Dati!E130+Dati!K130)&gt;0,((Dati!J130)/(Dati!D130-Dati!E130+Dati!K130)),0)</f>
        <v>1</v>
      </c>
      <c r="G17" s="54">
        <f>IF(Dati!$F$227&gt;0,(Dati!F130/Dati!$F$227),0)</f>
        <v>0.007446913817183758</v>
      </c>
      <c r="H17" s="54">
        <f>IF(Dati!$G$227&gt;0,(Dati!G130/Dati!$G$227),0)</f>
        <v>0</v>
      </c>
      <c r="I17" s="54">
        <f>IF(Dati!$H$227&gt;0,(Dati!H130/Dati!$H$227),0)</f>
        <v>0.007503630464754942</v>
      </c>
      <c r="J17" s="54">
        <f>IF(Dati!$I$227&gt;0,(Dati!I130/Dati!$I$227),0)</f>
        <v>0</v>
      </c>
      <c r="K17" s="54">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0.008508203655881154</v>
      </c>
      <c r="L17" s="83">
        <f>IF((IF(Dati!$D$237=3,(Dati!$M$227+Dati!$O$227+Dati!$Q$227),(Dati!$O$227+Dati!$Q$227)/Dati!$D$237))&gt;0,((IF(Dati!$D$237=3,(Dati!M130+Dati!O130+Dati!Q130),(Dati!O130+Dati!Q130)/Dati!$D$237)/(IF(Dati!$D$237=3,(Dati!$M$227+Dati!$O$227+Dati!$Q$227),(Dati!$O$227+Dati!$Q$227)/Dati!$D$237)))),0)</f>
        <v>0</v>
      </c>
      <c r="M17" s="83">
        <f>IF((IF(Dati!$D$237=3,(Dati!L130+Dati!N130+Dati!Y130+Dati!U130+Dati!V130+Dati!W130),(Dati!N130+Dati!Y130+Dati!V130+Dati!W130)/Dati!$D$237))&gt;0,((IF(Dati!$D$237=3,(Dati!R130+Dati!S130+Dati!AC130),(Dati!S130+Dati!AC130)/Dati!$D$237)/(IF(Dati!$D$237=3,(Dati!L130+Dati!N130+Dati!Y130+Dati!U130+Dati!V130+Dati!W130),(Dati!N130+Dati!Y130+Dati!V130+Dati!W130)/Dati!$D$237)))),0)</f>
        <v>0.925147983948296</v>
      </c>
    </row>
    <row r="18" spans="1:13" ht="24.75" customHeight="1">
      <c r="A18" s="181" t="s">
        <v>559</v>
      </c>
      <c r="B18" s="78" t="s">
        <v>754</v>
      </c>
      <c r="C18" s="60" t="s">
        <v>745</v>
      </c>
      <c r="D18" s="54">
        <f>IF(Dati!$D$227&gt;0,(Dati!D131/Dati!$D$227),0)</f>
        <v>0</v>
      </c>
      <c r="E18" s="54">
        <f>IF(Dati!$E$227&gt;0,(Dati!E131/Dati!$E$227),0)</f>
        <v>0</v>
      </c>
      <c r="F18" s="54">
        <f>IF((Dati!D131-Dati!E131+Dati!K131)&gt;0,((Dati!J131)/(Dati!D131-Dati!E131+Dati!K131)),0)</f>
        <v>0</v>
      </c>
      <c r="G18" s="54">
        <f>IF(Dati!$F$227&gt;0,(Dati!F131/Dati!$F$227),0)</f>
        <v>0</v>
      </c>
      <c r="H18" s="54">
        <f>IF(Dati!$G$227&gt;0,(Dati!G131/Dati!$G$227),0)</f>
        <v>0</v>
      </c>
      <c r="I18" s="54">
        <f>IF(Dati!$H$227&gt;0,(Dati!H131/Dati!$H$227),0)</f>
        <v>0</v>
      </c>
      <c r="J18" s="54">
        <f>IF(Dati!$I$227&gt;0,(Dati!I131/Dati!$I$227),0)</f>
        <v>0</v>
      </c>
      <c r="K18" s="54">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3">
        <f>IF((IF(Dati!$D$237=3,(Dati!$M$227+Dati!$O$227+Dati!$Q$227),(Dati!$O$227+Dati!$Q$227)/Dati!$D$237))&gt;0,((IF(Dati!$D$237=3,(Dati!M131+Dati!O131+Dati!Q131),(Dati!O131+Dati!Q131)/Dati!$D$237)/(IF(Dati!$D$237=3,(Dati!$M$227+Dati!$O$227+Dati!$Q$227),(Dati!$O$227+Dati!$Q$227)/Dati!$D$237)))),0)</f>
        <v>0</v>
      </c>
      <c r="M18" s="83">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81" t="s">
        <v>559</v>
      </c>
      <c r="B19" s="80" t="s">
        <v>755</v>
      </c>
      <c r="C19" s="77" t="s">
        <v>256</v>
      </c>
      <c r="D19" s="54">
        <f>IF(Dati!$D$227&gt;0,(Dati!D132/Dati!$D$227),0)</f>
        <v>0.02039392423178175</v>
      </c>
      <c r="E19" s="54">
        <f>IF(Dati!$E$227&gt;0,(Dati!E132/Dati!$E$227),0)</f>
        <v>0</v>
      </c>
      <c r="F19" s="54">
        <f>IF((Dati!D132-Dati!E132+Dati!K132)&gt;0,((Dati!J132)/(Dati!D132-Dati!E132+Dati!K132)),0)</f>
        <v>1</v>
      </c>
      <c r="G19" s="54">
        <f>IF(Dati!$F$227&gt;0,(Dati!F132/Dati!$F$227),0)</f>
        <v>0.02495988208778161</v>
      </c>
      <c r="H19" s="54">
        <f>IF(Dati!$G$227&gt;0,(Dati!G132/Dati!$G$227),0)</f>
        <v>0</v>
      </c>
      <c r="I19" s="54">
        <f>IF(Dati!$H$227&gt;0,(Dati!H132/Dati!$H$227),0)</f>
        <v>0.026882665403440895</v>
      </c>
      <c r="J19" s="54">
        <f>IF(Dati!$I$227&gt;0,(Dati!I132/Dati!$I$227),0)</f>
        <v>0</v>
      </c>
      <c r="K19" s="54">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0.04252165965275687</v>
      </c>
      <c r="L19" s="83">
        <f>IF((IF(Dati!$D$237=3,(Dati!$M$227+Dati!$O$227+Dati!$Q$227),(Dati!$O$227+Dati!$Q$227)/Dati!$D$237))&gt;0,((IF(Dati!$D$237=3,(Dati!M132+Dati!O132+Dati!Q132),(Dati!O132+Dati!Q132)/Dati!$D$237)/(IF(Dati!$D$237=3,(Dati!$M$227+Dati!$O$227+Dati!$Q$227),(Dati!$O$227+Dati!$Q$227)/Dati!$D$237)))),0)</f>
        <v>0.312841194283848</v>
      </c>
      <c r="M19" s="83">
        <f>IF((IF(Dati!$D$237=3,(Dati!L132+Dati!N132+Dati!Y132+Dati!U132+Dati!V132+Dati!W132),(Dati!N132+Dati!Y132+Dati!V132+Dati!W132)/Dati!$D$237))&gt;0,((IF(Dati!$D$237=3,(Dati!R132+Dati!S132+Dati!AC132),(Dati!S132+Dati!AC132)/Dati!$D$237)/(IF(Dati!$D$237=3,(Dati!L132+Dati!N132+Dati!Y132+Dati!U132+Dati!V132+Dati!W132),(Dati!N132+Dati!Y132+Dati!V132+Dati!W132)/Dati!$D$237)))),0)</f>
        <v>0.9531825418985357</v>
      </c>
    </row>
    <row r="20" spans="1:13" ht="12" customHeight="1">
      <c r="A20" s="181" t="s">
        <v>559</v>
      </c>
      <c r="B20" s="80">
        <v>11</v>
      </c>
      <c r="C20" s="77" t="s">
        <v>258</v>
      </c>
      <c r="D20" s="54">
        <f>IF(Dati!$D$227&gt;0,(Dati!D133/Dati!$D$227),0)</f>
        <v>0.018690529621001865</v>
      </c>
      <c r="E20" s="54">
        <f>IF(Dati!$E$227&gt;0,(Dati!E133/Dati!$E$227),0)</f>
        <v>0</v>
      </c>
      <c r="F20" s="54">
        <f>IF((Dati!D133-Dati!E133+Dati!K133)&gt;0,((Dati!J133)/(Dati!D133-Dati!E133+Dati!K133)),0)</f>
        <v>0.9986886403458715</v>
      </c>
      <c r="G20" s="54">
        <f>IF(Dati!$F$227&gt;0,(Dati!F133/Dati!$F$227),0)</f>
        <v>0.024362042508886943</v>
      </c>
      <c r="H20" s="54">
        <f>IF(Dati!$G$227&gt;0,(Dati!G133/Dati!$G$227),0)</f>
        <v>0</v>
      </c>
      <c r="I20" s="54">
        <f>IF(Dati!$H$227&gt;0,(Dati!H133/Dati!$H$227),0)</f>
        <v>0.02621259084982626</v>
      </c>
      <c r="J20" s="54">
        <f>IF(Dati!$I$227&gt;0,(Dati!I133/Dati!$I$227),0)</f>
        <v>0</v>
      </c>
      <c r="K20" s="54">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0.031691750392818324</v>
      </c>
      <c r="L20" s="83">
        <f>IF((IF(Dati!$D$237=3,(Dati!$M$227+Dati!$O$227+Dati!$Q$227),(Dati!$O$227+Dati!$Q$227)/Dati!$D$237))&gt;0,((IF(Dati!$D$237=3,(Dati!M133+Dati!O133+Dati!Q133),(Dati!O133+Dati!Q133)/Dati!$D$237)/(IF(Dati!$D$237=3,(Dati!$M$227+Dati!$O$227+Dati!$Q$227),(Dati!$O$227+Dati!$Q$227)/Dati!$D$237)))),0)</f>
        <v>0.06743826744898954</v>
      </c>
      <c r="M20" s="83">
        <f>IF((IF(Dati!$D$237=3,(Dati!L133+Dati!N133+Dati!Y133+Dati!U133+Dati!V133+Dati!W133),(Dati!N133+Dati!Y133+Dati!V133+Dati!W133)/Dati!$D$237))&gt;0,((IF(Dati!$D$237=3,(Dati!R133+Dati!S133+Dati!AC133),(Dati!S133+Dati!AC133)/Dati!$D$237)/(IF(Dati!$D$237=3,(Dati!L133+Dati!N133+Dati!Y133+Dati!U133+Dati!V133+Dati!W133),(Dati!N133+Dati!Y133+Dati!V133+Dati!W133)/Dati!$D$237)))),0)</f>
        <v>0.9688806127293448</v>
      </c>
    </row>
    <row r="21" spans="1:13" ht="44.25" customHeight="1">
      <c r="A21" s="181" t="s">
        <v>559</v>
      </c>
      <c r="B21" s="169" t="s">
        <v>747</v>
      </c>
      <c r="C21" s="170"/>
      <c r="D21" s="54">
        <f>IF(Dati!$D$227&gt;0,(Dati!D134/Dati!$D$227),0)</f>
        <v>0.11306414664012802</v>
      </c>
      <c r="E21" s="54">
        <f>IF(Dati!$E$227&gt;0,(Dati!E134/Dati!$E$227),0)</f>
        <v>0</v>
      </c>
      <c r="F21" s="54">
        <f>IF((Dati!D134-Dati!E134+Dati!K134)&gt;0,((Dati!J134)/(Dati!D134-Dati!E134+Dati!K134)),0)</f>
        <v>0.999788098792966</v>
      </c>
      <c r="G21" s="54">
        <f>IF(Dati!$F$227&gt;0,(Dati!F134/Dati!$F$227),0)</f>
        <v>0.1364891917645558</v>
      </c>
      <c r="H21" s="54">
        <f>IF(Dati!$G$227&gt;0,(Dati!G134/Dati!$G$227),0)</f>
        <v>0</v>
      </c>
      <c r="I21" s="54">
        <f>IF(Dati!$H$227&gt;0,(Dati!H134/Dati!$H$227),0)</f>
        <v>0.1461924943406948</v>
      </c>
      <c r="J21" s="54">
        <f>IF(Dati!$I$227&gt;0,(Dati!I134/Dati!$I$227),0)</f>
        <v>0</v>
      </c>
      <c r="K21" s="54">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0.1735797933862368</v>
      </c>
      <c r="L21" s="83">
        <f>IF((IF(Dati!$D$237=3,(Dati!$M$227+Dati!$O$227+Dati!$Q$227),(Dati!$O$227+Dati!$Q$227)/Dati!$D$237))&gt;0,((IF(Dati!$D$237=3,(Dati!M134+Dati!O134+Dati!Q134),(Dati!O134+Dati!Q134)/Dati!$D$237)/(IF(Dati!$D$237=3,(Dati!$M$227+Dati!$O$227+Dati!$Q$227),(Dati!$O$227+Dati!$Q$227)/Dati!$D$237)))),0)</f>
        <v>0.4202887012027068</v>
      </c>
      <c r="M21" s="83">
        <f>IF((IF(Dati!$D$237=3,(Dati!L134+Dati!N134+Dati!Y134+Dati!U134+Dati!V134+Dati!W134),(Dati!N134+Dati!Y134+Dati!V134+Dati!W134)/Dati!$D$237))&gt;0,((IF(Dati!$D$237=3,(Dati!R134+Dati!S134+Dati!AC134),(Dati!S134+Dati!AC134)/Dati!$D$237)/(IF(Dati!$D$237=3,(Dati!L134+Dati!N134+Dati!Y134+Dati!U134+Dati!V134+Dati!W134),(Dati!N134+Dati!Y134+Dati!V134+Dati!W134)/Dati!$D$237)))),0)</f>
        <v>0.9604194322832058</v>
      </c>
    </row>
    <row r="22" spans="1:13" ht="12.75" customHeight="1">
      <c r="A22" s="182" t="s">
        <v>748</v>
      </c>
      <c r="B22" s="76" t="s">
        <v>560</v>
      </c>
      <c r="C22" s="77" t="s">
        <v>262</v>
      </c>
      <c r="D22" s="54">
        <f>IF(Dati!$D$227&gt;0,(Dati!D135/Dati!$D$227),0)</f>
        <v>0</v>
      </c>
      <c r="E22" s="54">
        <f>IF(Dati!$E$227&gt;0,(Dati!E135/Dati!$E$227),0)</f>
        <v>0</v>
      </c>
      <c r="F22" s="54">
        <f>IF((Dati!D135-Dati!E135+Dati!K135)&gt;0,((Dati!J135)/(Dati!D135-Dati!E135+Dati!K135)),0)</f>
        <v>0</v>
      </c>
      <c r="G22" s="54">
        <f>IF(Dati!$F$227&gt;0,(Dati!F135/Dati!$F$227),0)</f>
        <v>0</v>
      </c>
      <c r="H22" s="54">
        <f>IF(Dati!$G$227&gt;0,(Dati!G135/Dati!$G$227),0)</f>
        <v>0</v>
      </c>
      <c r="I22" s="54">
        <f>IF(Dati!$H$227&gt;0,(Dati!H135/Dati!$H$227),0)</f>
        <v>0</v>
      </c>
      <c r="J22" s="54">
        <f>IF(Dati!$I$227&gt;0,(Dati!I135/Dati!$I$227),0)</f>
        <v>0</v>
      </c>
      <c r="K22" s="54">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3">
        <f>IF((IF(Dati!$D$237=3,(Dati!$M$227+Dati!$O$227+Dati!$Q$227),(Dati!$O$227+Dati!$Q$227)/Dati!$D$237))&gt;0,((IF(Dati!$D$237=3,(Dati!M135+Dati!O135+Dati!Q135),(Dati!O135+Dati!Q135)/Dati!$D$237)/(IF(Dati!$D$237=3,(Dati!$M$227+Dati!$O$227+Dati!$Q$227),(Dati!$O$227+Dati!$Q$227)/Dati!$D$237)))),0)</f>
        <v>0</v>
      </c>
      <c r="M22" s="83">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83" t="s">
        <v>569</v>
      </c>
      <c r="B23" s="76" t="s">
        <v>561</v>
      </c>
      <c r="C23" s="60" t="s">
        <v>264</v>
      </c>
      <c r="D23" s="54">
        <f>IF(Dati!$D$227&gt;0,(Dati!D136/Dati!$D$227),0)</f>
        <v>2.987538340891642E-05</v>
      </c>
      <c r="E23" s="54">
        <f>IF(Dati!$E$227&gt;0,(Dati!E136/Dati!$E$227),0)</f>
        <v>0</v>
      </c>
      <c r="F23" s="54">
        <f>IF((Dati!D136-Dati!E136+Dati!K136)&gt;0,((Dati!J136)/(Dati!D136-Dati!E136+Dati!K136)),0)</f>
        <v>1</v>
      </c>
      <c r="G23" s="54">
        <f>IF(Dati!$F$227&gt;0,(Dati!F136/Dati!$F$227),0)</f>
        <v>0</v>
      </c>
      <c r="H23" s="54">
        <f>IF(Dati!$G$227&gt;0,(Dati!G136/Dati!$G$227),0)</f>
        <v>0</v>
      </c>
      <c r="I23" s="54">
        <f>IF(Dati!$H$227&gt;0,(Dati!H136/Dati!$H$227),0)</f>
        <v>0</v>
      </c>
      <c r="J23" s="54">
        <f>IF(Dati!$I$227&gt;0,(Dati!I136/Dati!$I$227),0)</f>
        <v>0</v>
      </c>
      <c r="K23" s="54">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0.0022793400689791374</v>
      </c>
      <c r="L23" s="83">
        <f>IF((IF(Dati!$D$237=3,(Dati!$M$227+Dati!$O$227+Dati!$Q$227),(Dati!$O$227+Dati!$Q$227)/Dati!$D$237))&gt;0,((IF(Dati!$D$237=3,(Dati!M136+Dati!O136+Dati!Q136),(Dati!O136+Dati!Q136)/Dati!$D$237)/(IF(Dati!$D$237=3,(Dati!$M$227+Dati!$O$227+Dati!$Q$227),(Dati!$O$227+Dati!$Q$227)/Dati!$D$237)))),0)</f>
        <v>0</v>
      </c>
      <c r="M23" s="83">
        <f>IF((IF(Dati!$D$237=3,(Dati!L136+Dati!N136+Dati!Y136+Dati!U136+Dati!V136+Dati!W136),(Dati!N136+Dati!Y136+Dati!V136+Dati!W136)/Dati!$D$237))&gt;0,((IF(Dati!$D$237=3,(Dati!R136+Dati!S136+Dati!AC136),(Dati!S136+Dati!AC136)/Dati!$D$237)/(IF(Dati!$D$237=3,(Dati!L136+Dati!N136+Dati!Y136+Dati!U136+Dati!V136+Dati!W136),(Dati!N136+Dati!Y136+Dati!V136+Dati!W136)/Dati!$D$237)))),0)</f>
        <v>0.9418326917160467</v>
      </c>
    </row>
    <row r="24" spans="1:13" ht="22.5" customHeight="1">
      <c r="A24" s="183" t="s">
        <v>569</v>
      </c>
      <c r="B24" s="185" t="s">
        <v>570</v>
      </c>
      <c r="C24" s="185"/>
      <c r="D24" s="54">
        <f>IF(Dati!$D$227&gt;0,(Dati!D137/Dati!$D$227),0)</f>
        <v>2.987538340891642E-05</v>
      </c>
      <c r="E24" s="54">
        <f>IF(Dati!$E$227&gt;0,(Dati!E137/Dati!$E$227),0)</f>
        <v>0</v>
      </c>
      <c r="F24" s="54">
        <f>IF((Dati!D137-Dati!E137+Dati!K137)&gt;0,((Dati!J137)/(Dati!D137-Dati!E137+Dati!K137)),0)</f>
        <v>1</v>
      </c>
      <c r="G24" s="54">
        <f>IF(Dati!$F$227&gt;0,(Dati!F137/Dati!$F$227),0)</f>
        <v>0</v>
      </c>
      <c r="H24" s="54">
        <f>IF(Dati!$G$227&gt;0,(Dati!G137/Dati!$G$227),0)</f>
        <v>0</v>
      </c>
      <c r="I24" s="54">
        <f>IF(Dati!$H$227&gt;0,(Dati!H137/Dati!$H$227),0)</f>
        <v>0</v>
      </c>
      <c r="J24" s="54">
        <f>IF(Dati!$I$227&gt;0,(Dati!I137/Dati!$I$227),0)</f>
        <v>0</v>
      </c>
      <c r="K24" s="54">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0.0022793400689791374</v>
      </c>
      <c r="L24" s="83">
        <f>IF((IF(Dati!$D$237=3,(Dati!$M$227+Dati!$O$227+Dati!$Q$227),(Dati!$O$227+Dati!$Q$227)/Dati!$D$237))&gt;0,((IF(Dati!$D$237=3,(Dati!M137+Dati!O137+Dati!Q137),(Dati!O137+Dati!Q137)/Dati!$D$237)/(IF(Dati!$D$237=3,(Dati!$M$227+Dati!$O$227+Dati!$Q$227),(Dati!$O$227+Dati!$Q$227)/Dati!$D$237)))),0)</f>
        <v>0</v>
      </c>
      <c r="M24" s="83">
        <f>IF((IF(Dati!$D$237=3,(Dati!L137+Dati!N137+Dati!Y137+Dati!U137+Dati!V137+Dati!W137),(Dati!N137+Dati!Y137+Dati!V137+Dati!W137)/Dati!$D$237))&gt;0,((IF(Dati!$D$237=3,(Dati!R137+Dati!S137+Dati!AC137),(Dati!S137+Dati!AC137)/Dati!$D$237)/(IF(Dati!$D$237=3,(Dati!L137+Dati!N137+Dati!Y137+Dati!U137+Dati!V137+Dati!W137),(Dati!N137+Dati!Y137+Dati!V137+Dati!W137)/Dati!$D$237)))),0)</f>
        <v>0.9418326917160467</v>
      </c>
    </row>
    <row r="25" spans="1:13" ht="16.5" customHeight="1">
      <c r="A25" s="180" t="s">
        <v>749</v>
      </c>
      <c r="B25" s="76" t="s">
        <v>560</v>
      </c>
      <c r="C25" s="77" t="s">
        <v>268</v>
      </c>
      <c r="D25" s="54">
        <f>IF(Dati!$D$227&gt;0,(Dati!D138/Dati!$D$227),0)</f>
        <v>0.031837022672983196</v>
      </c>
      <c r="E25" s="54">
        <f>IF(Dati!$E$227&gt;0,(Dati!E138/Dati!$E$227),0)</f>
        <v>0</v>
      </c>
      <c r="F25" s="54">
        <f>IF((Dati!D138-Dati!E138+Dati!K138)&gt;0,((Dati!J138)/(Dati!D138-Dati!E138+Dati!K138)),0)</f>
        <v>1</v>
      </c>
      <c r="G25" s="54">
        <f>IF(Dati!$F$227&gt;0,(Dati!F138/Dati!$F$227),0)</f>
        <v>0.0346522381178187</v>
      </c>
      <c r="H25" s="54">
        <f>IF(Dati!$G$227&gt;0,(Dati!G138/Dati!$G$227),0)</f>
        <v>0</v>
      </c>
      <c r="I25" s="54">
        <f>IF(Dati!$H$227&gt;0,(Dati!H138/Dati!$H$227),0)</f>
        <v>0.03658013636796449</v>
      </c>
      <c r="J25" s="54">
        <f>IF(Dati!$I$227&gt;0,(Dati!I138/Dati!$I$227),0)</f>
        <v>0</v>
      </c>
      <c r="K25" s="54">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0.03714500163687356</v>
      </c>
      <c r="L25" s="83">
        <f>IF((IF(Dati!$D$237=3,(Dati!$M$227+Dati!$O$227+Dati!$Q$227),(Dati!$O$227+Dati!$Q$227)/Dati!$D$237))&gt;0,((IF(Dati!$D$237=3,(Dati!M138+Dati!O138+Dati!Q138),(Dati!O138+Dati!Q138)/Dati!$D$237)/(IF(Dati!$D$237=3,(Dati!$M$227+Dati!$O$227+Dati!$Q$227),(Dati!$O$227+Dati!$Q$227)/Dati!$D$237)))),0)</f>
        <v>0.004751014192971699</v>
      </c>
      <c r="M25" s="83">
        <f>IF((IF(Dati!$D$237=3,(Dati!L138+Dati!N138+Dati!Y138+Dati!U138+Dati!V138+Dati!W138),(Dati!N138+Dati!Y138+Dati!V138+Dati!W138)/Dati!$D$237))&gt;0,((IF(Dati!$D$237=3,(Dati!R138+Dati!S138+Dati!AC138),(Dati!S138+Dati!AC138)/Dati!$D$237)/(IF(Dati!$D$237=3,(Dati!L138+Dati!N138+Dati!Y138+Dati!U138+Dati!V138+Dati!W138),(Dati!N138+Dati!Y138+Dati!V138+Dati!W138)/Dati!$D$237)))),0)</f>
        <v>0.8930073890936258</v>
      </c>
    </row>
    <row r="26" spans="1:13" ht="24.75" customHeight="1">
      <c r="A26" s="181" t="s">
        <v>571</v>
      </c>
      <c r="B26" s="79" t="s">
        <v>572</v>
      </c>
      <c r="C26" s="60" t="s">
        <v>750</v>
      </c>
      <c r="D26" s="54">
        <f>IF(Dati!$D$227&gt;0,(Dati!D139/Dati!$D$227),0)</f>
        <v>0.0015990901419498708</v>
      </c>
      <c r="E26" s="54">
        <f>IF(Dati!$E$227&gt;0,(Dati!E139/Dati!$E$227),0)</f>
        <v>0</v>
      </c>
      <c r="F26" s="54">
        <f>IF((Dati!D139-Dati!E139+Dati!K139)&gt;0,((Dati!J139)/(Dati!D139-Dati!E139+Dati!K139)),0)</f>
        <v>0.9999999999999998</v>
      </c>
      <c r="G26" s="54">
        <f>IF(Dati!$F$227&gt;0,(Dati!F139/Dati!$F$227),0)</f>
        <v>0.002098109117897741</v>
      </c>
      <c r="H26" s="54">
        <f>IF(Dati!$G$227&gt;0,(Dati!G139/Dati!$G$227),0)</f>
        <v>0</v>
      </c>
      <c r="I26" s="54">
        <f>IF(Dati!$H$227&gt;0,(Dati!H139/Dati!$H$227),0)</f>
        <v>0.002259736852842099</v>
      </c>
      <c r="J26" s="54">
        <f>IF(Dati!$I$227&gt;0,(Dati!I139/Dati!$I$227),0)</f>
        <v>0</v>
      </c>
      <c r="K26" s="54">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0.00034058714532660714</v>
      </c>
      <c r="L26" s="83">
        <f>IF((IF(Dati!$D$237=3,(Dati!$M$227+Dati!$O$227+Dati!$Q$227),(Dati!$O$227+Dati!$Q$227)/Dati!$D$237))&gt;0,((IF(Dati!$D$237=3,(Dati!M139+Dati!O139+Dati!Q139),(Dati!O139+Dati!Q139)/Dati!$D$237)/(IF(Dati!$D$237=3,(Dati!$M$227+Dati!$O$227+Dati!$Q$227),(Dati!$O$227+Dati!$Q$227)/Dati!$D$237)))),0)</f>
        <v>0</v>
      </c>
      <c r="M26" s="83">
        <f>IF((IF(Dati!$D$237=3,(Dati!L139+Dati!N139+Dati!Y139+Dati!U139+Dati!V139+Dati!W139),(Dati!N139+Dati!Y139+Dati!V139+Dati!W139)/Dati!$D$237))&gt;0,((IF(Dati!$D$237=3,(Dati!R139+Dati!S139+Dati!AC139),(Dati!S139+Dati!AC139)/Dati!$D$237)/(IF(Dati!$D$237=3,(Dati!L139+Dati!N139+Dati!Y139+Dati!U139+Dati!V139+Dati!W139),(Dati!N139+Dati!Y139+Dati!V139+Dati!W139)/Dati!$D$237)))),0)</f>
        <v>0.8459007370536995</v>
      </c>
    </row>
    <row r="27" spans="1:13" ht="33.75" customHeight="1">
      <c r="A27" s="181" t="s">
        <v>571</v>
      </c>
      <c r="B27" s="169" t="s">
        <v>751</v>
      </c>
      <c r="C27" s="170"/>
      <c r="D27" s="54">
        <f>IF(Dati!$D$227&gt;0,(Dati!D140/Dati!$D$227),0)</f>
        <v>0.03343611281493307</v>
      </c>
      <c r="E27" s="54">
        <f>IF(Dati!$E$227&gt;0,(Dati!E140/Dati!$E$227),0)</f>
        <v>0</v>
      </c>
      <c r="F27" s="54">
        <f>IF((Dati!D140-Dati!E140+Dati!K140)&gt;0,((Dati!J140)/(Dati!D140-Dati!E140+Dati!K140)),0)</f>
        <v>0.9999999999999999</v>
      </c>
      <c r="G27" s="54">
        <f>IF(Dati!$F$227&gt;0,(Dati!F140/Dati!$F$227),0)</f>
        <v>0.03675034723571644</v>
      </c>
      <c r="H27" s="54">
        <f>IF(Dati!$G$227&gt;0,(Dati!G140/Dati!$G$227),0)</f>
        <v>0</v>
      </c>
      <c r="I27" s="54">
        <f>IF(Dati!$H$227&gt;0,(Dati!H140/Dati!$H$227),0)</f>
        <v>0.038839873220806585</v>
      </c>
      <c r="J27" s="54">
        <f>IF(Dati!$I$227&gt;0,(Dati!I140/Dati!$I$227),0)</f>
        <v>0</v>
      </c>
      <c r="K27" s="54">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0.037485588782200166</v>
      </c>
      <c r="L27" s="83">
        <f>IF((IF(Dati!$D$237=3,(Dati!$M$227+Dati!$O$227+Dati!$Q$227),(Dati!$O$227+Dati!$Q$227)/Dati!$D$237))&gt;0,((IF(Dati!$D$237=3,(Dati!M140+Dati!O140+Dati!Q140),(Dati!O140+Dati!Q140)/Dati!$D$237)/(IF(Dati!$D$237=3,(Dati!$M$227+Dati!$O$227+Dati!$Q$227),(Dati!$O$227+Dati!$Q$227)/Dati!$D$237)))),0)</f>
        <v>0.004751014192971699</v>
      </c>
      <c r="M27" s="83">
        <f>IF((IF(Dati!$D$237=3,(Dati!L140+Dati!N140+Dati!Y140+Dati!U140+Dati!V140+Dati!W140),(Dati!N140+Dati!Y140+Dati!V140+Dati!W140)/Dati!$D$237))&gt;0,((IF(Dati!$D$237=3,(Dati!R140+Dati!S140+Dati!AC140),(Dati!S140+Dati!AC140)/Dati!$D$237)/(IF(Dati!$D$237=3,(Dati!L140+Dati!N140+Dati!Y140+Dati!U140+Dati!V140+Dati!W140),(Dati!N140+Dati!Y140+Dati!V140+Dati!W140)/Dati!$D$237)))),0)</f>
        <v>0.8924615810539033</v>
      </c>
    </row>
    <row r="28" spans="1:13" ht="15.75" customHeight="1">
      <c r="A28" s="180" t="s">
        <v>756</v>
      </c>
      <c r="B28" s="76" t="s">
        <v>560</v>
      </c>
      <c r="C28" s="77" t="s">
        <v>274</v>
      </c>
      <c r="D28" s="54">
        <f>IF(Dati!$D$227&gt;0,(Dati!D141/Dati!$D$227),0)</f>
        <v>0.011611887860640407</v>
      </c>
      <c r="E28" s="54">
        <f>IF(Dati!$E$227&gt;0,(Dati!E141/Dati!$E$227),0)</f>
        <v>0</v>
      </c>
      <c r="F28" s="54">
        <f>IF((Dati!D141-Dati!E141+Dati!K141)&gt;0,((Dati!J141)/(Dati!D141-Dati!E141+Dati!K141)),0)</f>
        <v>1</v>
      </c>
      <c r="G28" s="54">
        <f>IF(Dati!$F$227&gt;0,(Dati!F141/Dati!$F$227),0)</f>
        <v>0.01028548825714048</v>
      </c>
      <c r="H28" s="54">
        <f>IF(Dati!$G$227&gt;0,(Dati!G141/Dati!$G$227),0)</f>
        <v>0</v>
      </c>
      <c r="I28" s="54">
        <f>IF(Dati!$H$227&gt;0,(Dati!H141/Dati!$H$227),0)</f>
        <v>0.01107783035013139</v>
      </c>
      <c r="J28" s="54">
        <f>IF(Dati!$I$227&gt;0,(Dati!I141/Dati!$I$227),0)</f>
        <v>0</v>
      </c>
      <c r="K28" s="54">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0.07843512539614847</v>
      </c>
      <c r="L28" s="83">
        <f>IF((IF(Dati!$D$237=3,(Dati!$M$227+Dati!$O$227+Dati!$Q$227),(Dati!$O$227+Dati!$Q$227)/Dati!$D$237))&gt;0,((IF(Dati!$D$237=3,(Dati!M141+Dati!O141+Dati!Q141),(Dati!O141+Dati!Q141)/Dati!$D$237)/(IF(Dati!$D$237=3,(Dati!$M$227+Dati!$O$227+Dati!$Q$227),(Dati!$O$227+Dati!$Q$227)/Dati!$D$237)))),0)</f>
        <v>0.08671661471553893</v>
      </c>
      <c r="M28" s="83">
        <f>IF((IF(Dati!$D$237=3,(Dati!L141+Dati!N141+Dati!Y141+Dati!U141+Dati!V141+Dati!W141),(Dati!N141+Dati!Y141+Dati!V141+Dati!W141)/Dati!$D$237))&gt;0,((IF(Dati!$D$237=3,(Dati!R141+Dati!S141+Dati!AC141),(Dati!S141+Dati!AC141)/Dati!$D$237)/(IF(Dati!$D$237=3,(Dati!L141+Dati!N141+Dati!Y141+Dati!U141+Dati!V141+Dati!W141),(Dati!N141+Dati!Y141+Dati!V141+Dati!W141)/Dati!$D$237)))),0)</f>
        <v>0.7818563340290635</v>
      </c>
    </row>
    <row r="29" spans="1:13" ht="24.75" customHeight="1">
      <c r="A29" s="181" t="s">
        <v>573</v>
      </c>
      <c r="B29" s="79" t="s">
        <v>572</v>
      </c>
      <c r="C29" s="60" t="s">
        <v>757</v>
      </c>
      <c r="D29" s="54">
        <f>IF(Dati!$D$227&gt;0,(Dati!D142/Dati!$D$227),0)</f>
        <v>0.06698541175332887</v>
      </c>
      <c r="E29" s="54">
        <f>IF(Dati!$E$227&gt;0,(Dati!E142/Dati!$E$227),0)</f>
        <v>0</v>
      </c>
      <c r="F29" s="54">
        <f>IF((Dati!D142-Dati!E142+Dati!K142)&gt;0,((Dati!J142)/(Dati!D142-Dati!E142+Dati!K142)),0)</f>
        <v>1</v>
      </c>
      <c r="G29" s="54">
        <f>IF(Dati!$F$227&gt;0,(Dati!F142/Dati!$F$227),0)</f>
        <v>0.0201557977908181</v>
      </c>
      <c r="H29" s="54">
        <f>IF(Dati!$G$227&gt;0,(Dati!G142/Dati!$G$227),0)</f>
        <v>0</v>
      </c>
      <c r="I29" s="54">
        <f>IF(Dati!$H$227&gt;0,(Dati!H142/Dati!$H$227),0)</f>
        <v>0.020093905283395126</v>
      </c>
      <c r="J29" s="54">
        <f>IF(Dati!$I$227&gt;0,(Dati!I142/Dati!$I$227),0)</f>
        <v>0</v>
      </c>
      <c r="K29" s="54">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0.03374545161199996</v>
      </c>
      <c r="L29" s="83">
        <f>IF((IF(Dati!$D$237=3,(Dati!$M$227+Dati!$O$227+Dati!$Q$227),(Dati!$O$227+Dati!$Q$227)/Dati!$D$237))&gt;0,((IF(Dati!$D$237=3,(Dati!M142+Dati!O142+Dati!Q142),(Dati!O142+Dati!Q142)/Dati!$D$237)/(IF(Dati!$D$237=3,(Dati!$M$227+Dati!$O$227+Dati!$Q$227),(Dati!$O$227+Dati!$Q$227)/Dati!$D$237)))),0)</f>
        <v>0.040203791190845904</v>
      </c>
      <c r="M29" s="83">
        <f>IF((IF(Dati!$D$237=3,(Dati!L142+Dati!N142+Dati!Y142+Dati!U142+Dati!V142+Dati!W142),(Dati!N142+Dati!Y142+Dati!V142+Dati!W142)/Dati!$D$237))&gt;0,((IF(Dati!$D$237=3,(Dati!R142+Dati!S142+Dati!AC142),(Dati!S142+Dati!AC142)/Dati!$D$237)/(IF(Dati!$D$237=3,(Dati!L142+Dati!N142+Dati!Y142+Dati!U142+Dati!V142+Dati!W142),(Dati!N142+Dati!Y142+Dati!V142+Dati!W142)/Dati!$D$237)))),0)</f>
        <v>0.8971280171350591</v>
      </c>
    </row>
    <row r="30" spans="1:13" ht="16.5" customHeight="1">
      <c r="A30" s="181" t="s">
        <v>573</v>
      </c>
      <c r="B30" s="76" t="s">
        <v>574</v>
      </c>
      <c r="C30" s="77" t="s">
        <v>277</v>
      </c>
      <c r="D30" s="54">
        <f>IF(Dati!$D$227&gt;0,(Dati!D143/Dati!$D$227),0)</f>
        <v>0</v>
      </c>
      <c r="E30" s="54">
        <f>IF(Dati!$E$227&gt;0,(Dati!E143/Dati!$E$227),0)</f>
        <v>0</v>
      </c>
      <c r="F30" s="54">
        <f>IF((Dati!D143-Dati!E143+Dati!K143)&gt;0,((Dati!J143)/(Dati!D143-Dati!E143+Dati!K143)),0)</f>
        <v>0</v>
      </c>
      <c r="G30" s="54">
        <f>IF(Dati!$F$227&gt;0,(Dati!F143/Dati!$F$227),0)</f>
        <v>0</v>
      </c>
      <c r="H30" s="54">
        <f>IF(Dati!$G$227&gt;0,(Dati!G143/Dati!$G$227),0)</f>
        <v>0</v>
      </c>
      <c r="I30" s="54">
        <f>IF(Dati!$H$227&gt;0,(Dati!H143/Dati!$H$227),0)</f>
        <v>0</v>
      </c>
      <c r="J30" s="54">
        <f>IF(Dati!$I$227&gt;0,(Dati!I143/Dati!$I$227),0)</f>
        <v>0</v>
      </c>
      <c r="K30" s="54">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3">
        <f>IF((IF(Dati!$D$237=3,(Dati!$M$227+Dati!$O$227+Dati!$Q$227),(Dati!$O$227+Dati!$Q$227)/Dati!$D$237))&gt;0,((IF(Dati!$D$237=3,(Dati!M143+Dati!O143+Dati!Q143),(Dati!O143+Dati!Q143)/Dati!$D$237)/(IF(Dati!$D$237=3,(Dati!$M$227+Dati!$O$227+Dati!$Q$227),(Dati!$O$227+Dati!$Q$227)/Dati!$D$237)))),0)</f>
        <v>0</v>
      </c>
      <c r="M30" s="83">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81" t="s">
        <v>573</v>
      </c>
      <c r="B31" s="76" t="s">
        <v>575</v>
      </c>
      <c r="C31" s="77" t="s">
        <v>279</v>
      </c>
      <c r="D31" s="54">
        <f>IF(Dati!$D$227&gt;0,(Dati!D144/Dati!$D$227),0)</f>
        <v>0.0012993642834256056</v>
      </c>
      <c r="E31" s="54">
        <f>IF(Dati!$E$227&gt;0,(Dati!E144/Dati!$E$227),0)</f>
        <v>0</v>
      </c>
      <c r="F31" s="54">
        <f>IF((Dati!D144-Dati!E144+Dati!K144)&gt;0,((Dati!J144)/(Dati!D144-Dati!E144+Dati!K144)),0)</f>
        <v>1</v>
      </c>
      <c r="G31" s="54">
        <f>IF(Dati!$F$227&gt;0,(Dati!F144/Dati!$F$227),0)</f>
        <v>0</v>
      </c>
      <c r="H31" s="54">
        <f>IF(Dati!$G$227&gt;0,(Dati!G144/Dati!$G$227),0)</f>
        <v>0</v>
      </c>
      <c r="I31" s="54">
        <f>IF(Dati!$H$227&gt;0,(Dati!H144/Dati!$H$227),0)</f>
        <v>0</v>
      </c>
      <c r="J31" s="54">
        <f>IF(Dati!$I$227&gt;0,(Dati!I144/Dati!$I$227),0)</f>
        <v>0</v>
      </c>
      <c r="K31" s="54">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3">
        <f>IF((IF(Dati!$D$237=3,(Dati!$M$227+Dati!$O$227+Dati!$Q$227),(Dati!$O$227+Dati!$Q$227)/Dati!$D$237))&gt;0,((IF(Dati!$D$237=3,(Dati!M144+Dati!O144+Dati!Q144),(Dati!O144+Dati!Q144)/Dati!$D$237)/(IF(Dati!$D$237=3,(Dati!$M$227+Dati!$O$227+Dati!$Q$227),(Dati!$O$227+Dati!$Q$227)/Dati!$D$237)))),0)</f>
        <v>0</v>
      </c>
      <c r="M31" s="83">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81" t="s">
        <v>573</v>
      </c>
      <c r="B32" s="76" t="s">
        <v>565</v>
      </c>
      <c r="C32" s="77" t="s">
        <v>281</v>
      </c>
      <c r="D32" s="54">
        <f>IF(Dati!$D$227&gt;0,(Dati!D145/Dati!$D$227),0)</f>
        <v>0.03312326037861324</v>
      </c>
      <c r="E32" s="54">
        <f>IF(Dati!$E$227&gt;0,(Dati!E145/Dati!$E$227),0)</f>
        <v>0</v>
      </c>
      <c r="F32" s="54">
        <f>IF((Dati!D145-Dati!E145+Dati!K145)&gt;0,((Dati!J145)/(Dati!D145-Dati!E145+Dati!K145)),0)</f>
        <v>1.0000000000000002</v>
      </c>
      <c r="G32" s="54">
        <f>IF(Dati!$F$227&gt;0,(Dati!F145/Dati!$F$227),0)</f>
        <v>0.04420233822589364</v>
      </c>
      <c r="H32" s="54">
        <f>IF(Dati!$G$227&gt;0,(Dati!G145/Dati!$G$227),0)</f>
        <v>0</v>
      </c>
      <c r="I32" s="54">
        <f>IF(Dati!$H$227&gt;0,(Dati!H145/Dati!$H$227),0)</f>
        <v>0.047607463224279827</v>
      </c>
      <c r="J32" s="54">
        <f>IF(Dati!$I$227&gt;0,(Dati!I145/Dati!$I$227),0)</f>
        <v>0</v>
      </c>
      <c r="K32" s="54">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0.04576555073515787</v>
      </c>
      <c r="L32" s="83">
        <f>IF((IF(Dati!$D$237=3,(Dati!$M$227+Dati!$O$227+Dati!$Q$227),(Dati!$O$227+Dati!$Q$227)/Dati!$D$237))&gt;0,((IF(Dati!$D$237=3,(Dati!M145+Dati!O145+Dati!Q145),(Dati!O145+Dati!Q145)/Dati!$D$237)/(IF(Dati!$D$237=3,(Dati!$M$227+Dati!$O$227+Dati!$Q$227),(Dati!$O$227+Dati!$Q$227)/Dati!$D$237)))),0)</f>
        <v>0.0003469886490605823</v>
      </c>
      <c r="M32" s="83">
        <f>IF((IF(Dati!$D$237=3,(Dati!L145+Dati!N145+Dati!Y145+Dati!U145+Dati!V145+Dati!W145),(Dati!N145+Dati!Y145+Dati!V145+Dati!W145)/Dati!$D$237))&gt;0,((IF(Dati!$D$237=3,(Dati!R145+Dati!S145+Dati!AC145),(Dati!S145+Dati!AC145)/Dati!$D$237)/(IF(Dati!$D$237=3,(Dati!L145+Dati!N145+Dati!Y145+Dati!U145+Dati!V145+Dati!W145),(Dati!N145+Dati!Y145+Dati!V145+Dati!W145)/Dati!$D$237)))),0)</f>
        <v>0.8996311520865121</v>
      </c>
    </row>
    <row r="33" spans="1:13" ht="15" customHeight="1">
      <c r="A33" s="181" t="s">
        <v>573</v>
      </c>
      <c r="B33" s="76" t="s">
        <v>576</v>
      </c>
      <c r="C33" s="77" t="s">
        <v>283</v>
      </c>
      <c r="D33" s="54">
        <f>IF(Dati!$D$227&gt;0,(Dati!D146/Dati!$D$227),0)</f>
        <v>0.001399315382150652</v>
      </c>
      <c r="E33" s="54">
        <f>IF(Dati!$E$227&gt;0,(Dati!E146/Dati!$E$227),0)</f>
        <v>0</v>
      </c>
      <c r="F33" s="54">
        <f>IF((Dati!D146-Dati!E146+Dati!K146)&gt;0,((Dati!J146)/(Dati!D146-Dati!E146+Dati!K146)),0)</f>
        <v>1</v>
      </c>
      <c r="G33" s="54">
        <f>IF(Dati!$F$227&gt;0,(Dati!F146/Dati!$F$227),0)</f>
        <v>0.0018359917837557913</v>
      </c>
      <c r="H33" s="54">
        <f>IF(Dati!$G$227&gt;0,(Dati!G146/Dati!$G$227),0)</f>
        <v>0</v>
      </c>
      <c r="I33" s="54">
        <f>IF(Dati!$H$227&gt;0,(Dati!H146/Dati!$H$227),0)</f>
        <v>0.0019774273224765966</v>
      </c>
      <c r="J33" s="54">
        <f>IF(Dati!$I$227&gt;0,(Dati!I146/Dati!$I$227),0)</f>
        <v>0</v>
      </c>
      <c r="K33" s="54">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0.0013993548612412244</v>
      </c>
      <c r="L33" s="83">
        <f>IF((IF(Dati!$D$237=3,(Dati!$M$227+Dati!$O$227+Dati!$Q$227),(Dati!$O$227+Dati!$Q$227)/Dati!$D$237))&gt;0,((IF(Dati!$D$237=3,(Dati!M146+Dati!O146+Dati!Q146),(Dati!O146+Dati!Q146)/Dati!$D$237)/(IF(Dati!$D$237=3,(Dati!$M$227+Dati!$O$227+Dati!$Q$227),(Dati!$O$227+Dati!$Q$227)/Dati!$D$237)))),0)</f>
        <v>0</v>
      </c>
      <c r="M33" s="83">
        <f>IF((IF(Dati!$D$237=3,(Dati!L146+Dati!N146+Dati!Y146+Dati!U146+Dati!V146+Dati!W146),(Dati!N146+Dati!Y146+Dati!V146+Dati!W146)/Dati!$D$237))&gt;0,((IF(Dati!$D$237=3,(Dati!R146+Dati!S146+Dati!AC146),(Dati!S146+Dati!AC146)/Dati!$D$237)/(IF(Dati!$D$237=3,(Dati!L146+Dati!N146+Dati!Y146+Dati!U146+Dati!V146+Dati!W146),(Dati!N146+Dati!Y146+Dati!V146+Dati!W146)/Dati!$D$237)))),0)</f>
        <v>0.9733077661924263</v>
      </c>
    </row>
    <row r="34" spans="1:13" ht="38.25" customHeight="1">
      <c r="A34" s="181" t="s">
        <v>573</v>
      </c>
      <c r="B34" s="169" t="s">
        <v>758</v>
      </c>
      <c r="C34" s="170"/>
      <c r="D34" s="54">
        <f>IF(Dati!$D$227&gt;0,(Dati!D147/Dati!$D$227),0)</f>
        <v>0.11441923965815878</v>
      </c>
      <c r="E34" s="54">
        <f>IF(Dati!$E$227&gt;0,(Dati!E147/Dati!$E$227),0)</f>
        <v>0</v>
      </c>
      <c r="F34" s="54">
        <f>IF((Dati!D147-Dati!E147+Dati!K147)&gt;0,((Dati!J147)/(Dati!D147-Dati!E147+Dati!K147)),0)</f>
        <v>1</v>
      </c>
      <c r="G34" s="54">
        <f>IF(Dati!$F$227&gt;0,(Dati!F147/Dati!$F$227),0)</f>
        <v>0.07647961605760802</v>
      </c>
      <c r="H34" s="54">
        <f>IF(Dati!$G$227&gt;0,(Dati!G147/Dati!$G$227),0)</f>
        <v>0</v>
      </c>
      <c r="I34" s="54">
        <f>IF(Dati!$H$227&gt;0,(Dati!H147/Dati!$H$227),0)</f>
        <v>0.08075662618028294</v>
      </c>
      <c r="J34" s="54">
        <f>IF(Dati!$I$227&gt;0,(Dati!I147/Dati!$I$227),0)</f>
        <v>0</v>
      </c>
      <c r="K34" s="54">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0.15934548260454756</v>
      </c>
      <c r="L34" s="83">
        <f>IF((IF(Dati!$D$237=3,(Dati!$M$227+Dati!$O$227+Dati!$Q$227),(Dati!$O$227+Dati!$Q$227)/Dati!$D$237))&gt;0,((IF(Dati!$D$237=3,(Dati!M147+Dati!O147+Dati!Q147),(Dati!O147+Dati!Q147)/Dati!$D$237)/(IF(Dati!$D$237=3,(Dati!$M$227+Dati!$O$227+Dati!$Q$227),(Dati!$O$227+Dati!$Q$227)/Dati!$D$237)))),0)</f>
        <v>0.12726739455544542</v>
      </c>
      <c r="M34" s="83">
        <f>IF((IF(Dati!$D$237=3,(Dati!L147+Dati!N147+Dati!Y147+Dati!U147+Dati!V147+Dati!W147),(Dati!N147+Dati!Y147+Dati!V147+Dati!W147)/Dati!$D$237))&gt;0,((IF(Dati!$D$237=3,(Dati!R147+Dati!S147+Dati!AC147),(Dati!S147+Dati!AC147)/Dati!$D$237)/(IF(Dati!$D$237=3,(Dati!L147+Dati!N147+Dati!Y147+Dati!U147+Dati!V147+Dati!W147),(Dati!N147+Dati!Y147+Dati!V147+Dati!W147)/Dati!$D$237)))),0)</f>
        <v>0.8468741418233419</v>
      </c>
    </row>
    <row r="35" spans="1:13" ht="30" customHeight="1">
      <c r="A35" s="180" t="s">
        <v>759</v>
      </c>
      <c r="B35" s="79" t="s">
        <v>578</v>
      </c>
      <c r="C35" s="60" t="s">
        <v>287</v>
      </c>
      <c r="D35" s="54">
        <f>IF(Dati!$D$227&gt;0,(Dati!D148/Dati!$D$227),0)</f>
        <v>0.03055505687731266</v>
      </c>
      <c r="E35" s="54">
        <f>IF(Dati!$E$227&gt;0,(Dati!E148/Dati!$E$227),0)</f>
        <v>0</v>
      </c>
      <c r="F35" s="54">
        <f>IF((Dati!D148-Dati!E148+Dati!K148)&gt;0,((Dati!J148)/(Dati!D148-Dati!E148+Dati!K148)),0)</f>
        <v>1</v>
      </c>
      <c r="G35" s="54">
        <f>IF(Dati!$F$227&gt;0,(Dati!F148/Dati!$F$227),0)</f>
        <v>0.0004835871216142486</v>
      </c>
      <c r="H35" s="54">
        <f>IF(Dati!$G$227&gt;0,(Dati!G148/Dati!$G$227),0)</f>
        <v>0</v>
      </c>
      <c r="I35" s="54">
        <f>IF(Dati!$H$227&gt;0,(Dati!H148/Dati!$H$227),0)</f>
        <v>0.0005190746721501065</v>
      </c>
      <c r="J35" s="54">
        <f>IF(Dati!$I$227&gt;0,(Dati!I148/Dati!$I$227),0)</f>
        <v>0</v>
      </c>
      <c r="K35" s="54">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0.007142472262874637</v>
      </c>
      <c r="L35" s="83">
        <f>IF((IF(Dati!$D$237=3,(Dati!$M$227+Dati!$O$227+Dati!$Q$227),(Dati!$O$227+Dati!$Q$227)/Dati!$D$237))&gt;0,((IF(Dati!$D$237=3,(Dati!M148+Dati!O148+Dati!Q148),(Dati!O148+Dati!Q148)/Dati!$D$237)/(IF(Dati!$D$237=3,(Dati!$M$227+Dati!$O$227+Dati!$Q$227),(Dati!$O$227+Dati!$Q$227)/Dati!$D$237)))),0)</f>
        <v>0.00012032797969322095</v>
      </c>
      <c r="M35" s="83">
        <f>IF((IF(Dati!$D$237=3,(Dati!L148+Dati!N148+Dati!Y148+Dati!U148+Dati!V148+Dati!W148),(Dati!N148+Dati!Y148+Dati!V148+Dati!W148)/Dati!$D$237))&gt;0,((IF(Dati!$D$237=3,(Dati!R148+Dati!S148+Dati!AC148),(Dati!S148+Dati!AC148)/Dati!$D$237)/(IF(Dati!$D$237=3,(Dati!L148+Dati!N148+Dati!Y148+Dati!U148+Dati!V148+Dati!W148),(Dati!N148+Dati!Y148+Dati!V148+Dati!W148)/Dati!$D$237)))),0)</f>
        <v>0.7966244453660302</v>
      </c>
    </row>
    <row r="36" spans="1:13" ht="31.5" customHeight="1">
      <c r="A36" s="181" t="s">
        <v>577</v>
      </c>
      <c r="B36" s="79" t="s">
        <v>572</v>
      </c>
      <c r="C36" s="60" t="s">
        <v>736</v>
      </c>
      <c r="D36" s="54">
        <f>IF(Dati!$D$227&gt;0,(Dati!D149/Dati!$D$227),0)</f>
        <v>0.02011062283755548</v>
      </c>
      <c r="E36" s="54">
        <f>IF(Dati!$E$227&gt;0,(Dati!E149/Dati!$E$227),0)</f>
        <v>0</v>
      </c>
      <c r="F36" s="54">
        <f>IF((Dati!D149-Dati!E149+Dati!K149)&gt;0,((Dati!J149)/(Dati!D149-Dati!E149+Dati!K149)),0)</f>
        <v>1</v>
      </c>
      <c r="G36" s="54">
        <f>IF(Dati!$F$227&gt;0,(Dati!F149/Dati!$F$227),0)</f>
        <v>0.022753029799377423</v>
      </c>
      <c r="H36" s="54">
        <f>IF(Dati!$G$227&gt;0,(Dati!G149/Dati!$G$227),0)</f>
        <v>0</v>
      </c>
      <c r="I36" s="54">
        <f>IF(Dati!$H$227&gt;0,(Dati!H149/Dati!$H$227),0)</f>
        <v>0.024505808355184684</v>
      </c>
      <c r="J36" s="54">
        <f>IF(Dati!$I$227&gt;0,(Dati!I149/Dati!$I$227),0)</f>
        <v>0</v>
      </c>
      <c r="K36" s="54">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0.026938563692092434</v>
      </c>
      <c r="L36" s="83">
        <f>IF((IF(Dati!$D$237=3,(Dati!$M$227+Dati!$O$227+Dati!$Q$227),(Dati!$O$227+Dati!$Q$227)/Dati!$D$237))&gt;0,((IF(Dati!$D$237=3,(Dati!M149+Dati!O149+Dati!Q149),(Dati!O149+Dati!Q149)/Dati!$D$237)/(IF(Dati!$D$237=3,(Dati!$M$227+Dati!$O$227+Dati!$Q$227),(Dati!$O$227+Dati!$Q$227)/Dati!$D$237)))),0)</f>
        <v>0.002847926920807</v>
      </c>
      <c r="M36" s="83">
        <f>IF((IF(Dati!$D$237=3,(Dati!L149+Dati!N149+Dati!Y149+Dati!U149+Dati!V149+Dati!W149),(Dati!N149+Dati!Y149+Dati!V149+Dati!W149)/Dati!$D$237))&gt;0,((IF(Dati!$D$237=3,(Dati!R149+Dati!S149+Dati!AC149),(Dati!S149+Dati!AC149)/Dati!$D$237)/(IF(Dati!$D$237=3,(Dati!L149+Dati!N149+Dati!Y149+Dati!U149+Dati!V149+Dati!W149),(Dati!N149+Dati!Y149+Dati!V149+Dati!W149)/Dati!$D$237)))),0)</f>
        <v>0.8887793647491818</v>
      </c>
    </row>
    <row r="37" spans="1:13" ht="55.5" customHeight="1">
      <c r="A37" s="181" t="s">
        <v>577</v>
      </c>
      <c r="B37" s="170" t="s">
        <v>760</v>
      </c>
      <c r="C37" s="170"/>
      <c r="D37" s="54">
        <f>IF(Dati!$D$227&gt;0,(Dati!D150/Dati!$D$227),0)</f>
        <v>0.05066567971486814</v>
      </c>
      <c r="E37" s="54">
        <f>IF(Dati!$E$227&gt;0,(Dati!E150/Dati!$E$227),0)</f>
        <v>0</v>
      </c>
      <c r="F37" s="54">
        <f>IF((Dati!D150-Dati!E150+Dati!K150)&gt;0,((Dati!J150)/(Dati!D150-Dati!E150+Dati!K150)),0)</f>
        <v>1</v>
      </c>
      <c r="G37" s="54">
        <f>IF(Dati!$F$227&gt;0,(Dati!F150/Dati!$F$227),0)</f>
        <v>0.02323661692099167</v>
      </c>
      <c r="H37" s="54">
        <f>IF(Dati!$G$227&gt;0,(Dati!G150/Dati!$G$227),0)</f>
        <v>0</v>
      </c>
      <c r="I37" s="54">
        <f>IF(Dati!$H$227&gt;0,(Dati!H150/Dati!$H$227),0)</f>
        <v>0.025024883027334792</v>
      </c>
      <c r="J37" s="54">
        <f>IF(Dati!$I$227&gt;0,(Dati!I150/Dati!$I$227),0)</f>
        <v>0</v>
      </c>
      <c r="K37" s="54">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0.034081035954967066</v>
      </c>
      <c r="L37" s="83">
        <f>IF((IF(Dati!$D$237=3,(Dati!$M$227+Dati!$O$227+Dati!$Q$227),(Dati!$O$227+Dati!$Q$227)/Dati!$D$237))&gt;0,((IF(Dati!$D$237=3,(Dati!M150+Dati!O150+Dati!Q150),(Dati!O150+Dati!Q150)/Dati!$D$237)/(IF(Dati!$D$237=3,(Dati!$M$227+Dati!$O$227+Dati!$Q$227),(Dati!$O$227+Dati!$Q$227)/Dati!$D$237)))),0)</f>
        <v>0.0029682549005002204</v>
      </c>
      <c r="M37" s="83">
        <f>IF((IF(Dati!$D$237=3,(Dati!L150+Dati!N150+Dati!Y150+Dati!U150+Dati!V150+Dati!W150),(Dati!N150+Dati!Y150+Dati!V150+Dati!W150)/Dati!$D$237))&gt;0,((IF(Dati!$D$237=3,(Dati!R150+Dati!S150+Dati!AC150),(Dati!S150+Dati!AC150)/Dati!$D$237)/(IF(Dati!$D$237=3,(Dati!L150+Dati!N150+Dati!Y150+Dati!U150+Dati!V150+Dati!W150),(Dati!N150+Dati!Y150+Dati!V150+Dati!W150)/Dati!$D$237)))),0)</f>
        <v>0.867709472290529</v>
      </c>
    </row>
    <row r="38" spans="1:13" ht="13.5" customHeight="1">
      <c r="A38" s="180" t="s">
        <v>761</v>
      </c>
      <c r="B38" s="80" t="s">
        <v>560</v>
      </c>
      <c r="C38" s="77" t="s">
        <v>293</v>
      </c>
      <c r="D38" s="54">
        <f>IF(Dati!$D$227&gt;0,(Dati!D151/Dati!$D$227),0)</f>
        <v>0.020135369730088816</v>
      </c>
      <c r="E38" s="54">
        <f>IF(Dati!$E$227&gt;0,(Dati!E151/Dati!$E$227),0)</f>
        <v>0</v>
      </c>
      <c r="F38" s="54">
        <f>IF((Dati!D151-Dati!E151+Dati!K151)&gt;0,((Dati!J151)/(Dati!D151-Dati!E151+Dati!K151)),0)</f>
        <v>1</v>
      </c>
      <c r="G38" s="54">
        <f>IF(Dati!$F$227&gt;0,(Dati!F151/Dati!$F$227),0)</f>
        <v>0.014561060024963941</v>
      </c>
      <c r="H38" s="54">
        <f>IF(Dati!$G$227&gt;0,(Dati!G151/Dati!$G$227),0)</f>
        <v>0</v>
      </c>
      <c r="I38" s="54">
        <f>IF(Dati!$H$227&gt;0,(Dati!H151/Dati!$H$227),0)</f>
        <v>0.01661513109703309</v>
      </c>
      <c r="J38" s="54">
        <f>IF(Dati!$I$227&gt;0,(Dati!I151/Dati!$I$227),0)</f>
        <v>0</v>
      </c>
      <c r="K38" s="54">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0.031124585157071866</v>
      </c>
      <c r="L38" s="83">
        <f>IF((IF(Dati!$D$237=3,(Dati!$M$227+Dati!$O$227+Dati!$Q$227),(Dati!$O$227+Dati!$Q$227)/Dati!$D$237))&gt;0,((IF(Dati!$D$237=3,(Dati!M151+Dati!O151+Dati!Q151),(Dati!O151+Dati!Q151)/Dati!$D$237)/(IF(Dati!$D$237=3,(Dati!$M$227+Dati!$O$227+Dati!$Q$227),(Dati!$O$227+Dati!$Q$227)/Dati!$D$237)))),0)</f>
        <v>0.0875520060393186</v>
      </c>
      <c r="M38" s="83">
        <f>IF((IF(Dati!$D$237=3,(Dati!L151+Dati!N151+Dati!Y151+Dati!U151+Dati!V151+Dati!W151),(Dati!N151+Dati!Y151+Dati!V151+Dati!W151)/Dati!$D$237))&gt;0,((IF(Dati!$D$237=3,(Dati!R151+Dati!S151+Dati!AC151),(Dati!S151+Dati!AC151)/Dati!$D$237)/(IF(Dati!$D$237=3,(Dati!L151+Dati!N151+Dati!Y151+Dati!U151+Dati!V151+Dati!W151),(Dati!N151+Dati!Y151+Dati!V151+Dati!W151)/Dati!$D$237)))),0)</f>
        <v>0.8506706842780737</v>
      </c>
    </row>
    <row r="39" spans="1:13" ht="12" customHeight="1">
      <c r="A39" s="181" t="s">
        <v>579</v>
      </c>
      <c r="B39" s="80" t="s">
        <v>561</v>
      </c>
      <c r="C39" s="77" t="s">
        <v>295</v>
      </c>
      <c r="D39" s="54">
        <f>IF(Dati!$D$227&gt;0,(Dati!D152/Dati!$D$227),0)</f>
        <v>0.0023488508200385947</v>
      </c>
      <c r="E39" s="54">
        <f>IF(Dati!$E$227&gt;0,(Dati!E152/Dati!$E$227),0)</f>
        <v>0</v>
      </c>
      <c r="F39" s="54">
        <f>IF((Dati!D152-Dati!E152+Dati!K152)&gt;0,((Dati!J152)/(Dati!D152-Dati!E152+Dati!K152)),0)</f>
        <v>1</v>
      </c>
      <c r="G39" s="54">
        <f>IF(Dati!$F$227&gt;0,(Dati!F152/Dati!$F$227),0)</f>
        <v>0.0034752701621091763</v>
      </c>
      <c r="H39" s="54">
        <f>IF(Dati!$G$227&gt;0,(Dati!G152/Dati!$G$227),0)</f>
        <v>0</v>
      </c>
      <c r="I39" s="54">
        <f>IF(Dati!$H$227&gt;0,(Dati!H152/Dati!$H$227),0)</f>
        <v>0.0037429874318307002</v>
      </c>
      <c r="J39" s="54">
        <f>IF(Dati!$I$227&gt;0,(Dati!I152/Dati!$I$227),0)</f>
        <v>0</v>
      </c>
      <c r="K39" s="54">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0.0021198546183341066</v>
      </c>
      <c r="L39" s="83">
        <f>IF((IF(Dati!$D$237=3,(Dati!$M$227+Dati!$O$227+Dati!$Q$227),(Dati!$O$227+Dati!$Q$227)/Dati!$D$237))&gt;0,((IF(Dati!$D$237=3,(Dati!M152+Dati!O152+Dati!Q152),(Dati!O152+Dati!Q152)/Dati!$D$237)/(IF(Dati!$D$237=3,(Dati!$M$227+Dati!$O$227+Dati!$Q$227),(Dati!$O$227+Dati!$Q$227)/Dati!$D$237)))),0)</f>
        <v>0</v>
      </c>
      <c r="M39" s="83">
        <f>IF((IF(Dati!$D$237=3,(Dati!L152+Dati!N152+Dati!Y152+Dati!U152+Dati!V152+Dati!W152),(Dati!N152+Dati!Y152+Dati!V152+Dati!W152)/Dati!$D$237))&gt;0,((IF(Dati!$D$237=3,(Dati!R152+Dati!S152+Dati!AC152),(Dati!S152+Dati!AC152)/Dati!$D$237)/(IF(Dati!$D$237=3,(Dati!L152+Dati!N152+Dati!Y152+Dati!U152+Dati!V152+Dati!W152),(Dati!N152+Dati!Y152+Dati!V152+Dati!W152)/Dati!$D$237)))),0)</f>
        <v>0.8246117854179406</v>
      </c>
    </row>
    <row r="40" spans="1:13" ht="43.5" customHeight="1">
      <c r="A40" s="181" t="s">
        <v>579</v>
      </c>
      <c r="B40" s="169" t="s">
        <v>762</v>
      </c>
      <c r="C40" s="170"/>
      <c r="D40" s="54">
        <f>IF(Dati!$D$227&gt;0,(Dati!D153/Dati!$D$227),0)</f>
        <v>0.022484220550127408</v>
      </c>
      <c r="E40" s="54">
        <f>IF(Dati!$E$227&gt;0,(Dati!E153/Dati!$E$227),0)</f>
        <v>0</v>
      </c>
      <c r="F40" s="54">
        <f>IF((Dati!D153-Dati!E153+Dati!K153)&gt;0,((Dati!J153)/(Dati!D153-Dati!E153+Dati!K153)),0)</f>
        <v>1</v>
      </c>
      <c r="G40" s="54">
        <f>IF(Dati!$F$227&gt;0,(Dati!F153/Dati!$F$227),0)</f>
        <v>0.01803633018707312</v>
      </c>
      <c r="H40" s="54">
        <f>IF(Dati!$G$227&gt;0,(Dati!G153/Dati!$G$227),0)</f>
        <v>0</v>
      </c>
      <c r="I40" s="54">
        <f>IF(Dati!$H$227&gt;0,(Dati!H153/Dati!$H$227),0)</f>
        <v>0.02035811852886379</v>
      </c>
      <c r="J40" s="54">
        <f>IF(Dati!$I$227&gt;0,(Dati!I153/Dati!$I$227),0)</f>
        <v>0</v>
      </c>
      <c r="K40" s="54">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0.03324443977540597</v>
      </c>
      <c r="L40" s="83">
        <f>IF((IF(Dati!$D$237=3,(Dati!$M$227+Dati!$O$227+Dati!$Q$227),(Dati!$O$227+Dati!$Q$227)/Dati!$D$237))&gt;0,((IF(Dati!$D$237=3,(Dati!M153+Dati!O153+Dati!Q153),(Dati!O153+Dati!Q153)/Dati!$D$237)/(IF(Dati!$D$237=3,(Dati!$M$227+Dati!$O$227+Dati!$Q$227),(Dati!$O$227+Dati!$Q$227)/Dati!$D$237)))),0)</f>
        <v>0.0875520060393186</v>
      </c>
      <c r="M40" s="83">
        <f>IF((IF(Dati!$D$237=3,(Dati!L153+Dati!N153+Dati!Y153+Dati!U153+Dati!V153+Dati!W153),(Dati!N153+Dati!Y153+Dati!V153+Dati!W153)/Dati!$D$237))&gt;0,((IF(Dati!$D$237=3,(Dati!R153+Dati!S153+Dati!AC153),(Dati!S153+Dati!AC153)/Dati!$D$237)/(IF(Dati!$D$237=3,(Dati!L153+Dati!N153+Dati!Y153+Dati!U153+Dati!V153+Dati!W153),(Dati!N153+Dati!Y153+Dati!V153+Dati!W153)/Dati!$D$237)))),0)</f>
        <v>0.8487175924179567</v>
      </c>
    </row>
    <row r="41" spans="1:13" ht="25.5" customHeight="1">
      <c r="A41" s="180" t="s">
        <v>763</v>
      </c>
      <c r="B41" s="79" t="s">
        <v>578</v>
      </c>
      <c r="C41" s="60" t="s">
        <v>299</v>
      </c>
      <c r="D41" s="54">
        <f>IF(Dati!$D$227&gt;0,(Dati!D154/Dati!$D$227),0)</f>
        <v>0.00036732028781454615</v>
      </c>
      <c r="E41" s="54">
        <f>IF(Dati!$E$227&gt;0,(Dati!E154/Dati!$E$227),0)</f>
        <v>0</v>
      </c>
      <c r="F41" s="54">
        <f>IF((Dati!D154-Dati!E154+Dati!K154)&gt;0,((Dati!J154)/(Dati!D154-Dati!E154+Dati!K154)),0)</f>
        <v>1</v>
      </c>
      <c r="G41" s="54">
        <f>IF(Dati!$F$227&gt;0,(Dati!F154/Dati!$F$227),0)</f>
        <v>0.0017900919891618967</v>
      </c>
      <c r="H41" s="54">
        <f>IF(Dati!$G$227&gt;0,(Dati!G154/Dati!$G$227),0)</f>
        <v>0</v>
      </c>
      <c r="I41" s="54">
        <f>IF(Dati!$H$227&gt;0,(Dati!H154/Dati!$H$227),0)</f>
        <v>0.0005120124317126902</v>
      </c>
      <c r="J41" s="54">
        <f>IF(Dati!$I$227&gt;0,(Dati!I154/Dati!$I$227),0)</f>
        <v>0</v>
      </c>
      <c r="K41" s="54">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0.0005531037965884231</v>
      </c>
      <c r="L41" s="83">
        <f>IF((IF(Dati!$D$237=3,(Dati!$M$227+Dati!$O$227+Dati!$Q$227),(Dati!$O$227+Dati!$Q$227)/Dati!$D$237))&gt;0,((IF(Dati!$D$237=3,(Dati!M154+Dati!O154+Dati!Q154),(Dati!O154+Dati!Q154)/Dati!$D$237)/(IF(Dati!$D$237=3,(Dati!$M$227+Dati!$O$227+Dati!$Q$227),(Dati!$O$227+Dati!$Q$227)/Dati!$D$237)))),0)</f>
        <v>0</v>
      </c>
      <c r="M41" s="83">
        <f>IF((IF(Dati!$D$237=3,(Dati!L154+Dati!N154+Dati!Y154+Dati!U154+Dati!V154+Dati!W154),(Dati!N154+Dati!Y154+Dati!V154+Dati!W154)/Dati!$D$237))&gt;0,((IF(Dati!$D$237=3,(Dati!R154+Dati!S154+Dati!AC154),(Dati!S154+Dati!AC154)/Dati!$D$237)/(IF(Dati!$D$237=3,(Dati!L154+Dati!N154+Dati!Y154+Dati!U154+Dati!V154+Dati!W154),(Dati!N154+Dati!Y154+Dati!V154+Dati!W154)/Dati!$D$237)))),0)</f>
        <v>0.865572771421096</v>
      </c>
    </row>
    <row r="42" spans="1:13" ht="29.25" customHeight="1">
      <c r="A42" s="181" t="s">
        <v>580</v>
      </c>
      <c r="B42" s="169" t="s">
        <v>764</v>
      </c>
      <c r="C42" s="170"/>
      <c r="D42" s="54">
        <f>IF(Dati!$D$227&gt;0,(Dati!D155/Dati!$D$227),0)</f>
        <v>0.00036732028781454615</v>
      </c>
      <c r="E42" s="54">
        <f>IF(Dati!$E$227&gt;0,(Dati!E155/Dati!$E$227),0)</f>
        <v>0</v>
      </c>
      <c r="F42" s="54">
        <f>IF((Dati!D155-Dati!E155+Dati!K155)&gt;0,((Dati!J155)/(Dati!D155-Dati!E155+Dati!K155)),0)</f>
        <v>1</v>
      </c>
      <c r="G42" s="54">
        <f>IF(Dati!$F$227&gt;0,(Dati!F155/Dati!$F$227),0)</f>
        <v>0.0017900919891618967</v>
      </c>
      <c r="H42" s="54">
        <f>IF(Dati!$G$227&gt;0,(Dati!G155/Dati!$G$227),0)</f>
        <v>0</v>
      </c>
      <c r="I42" s="54">
        <f>IF(Dati!$H$227&gt;0,(Dati!H155/Dati!$H$227),0)</f>
        <v>0.0005120124317126902</v>
      </c>
      <c r="J42" s="54">
        <f>IF(Dati!$I$227&gt;0,(Dati!I155/Dati!$I$227),0)</f>
        <v>0</v>
      </c>
      <c r="K42" s="54">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0.0005531037965884231</v>
      </c>
      <c r="L42" s="83">
        <f>IF((IF(Dati!$D$237=3,(Dati!$M$227+Dati!$O$227+Dati!$Q$227),(Dati!$O$227+Dati!$Q$227)/Dati!$D$237))&gt;0,((IF(Dati!$D$237=3,(Dati!M155+Dati!O155+Dati!Q155),(Dati!O155+Dati!Q155)/Dati!$D$237)/(IF(Dati!$D$237=3,(Dati!$M$227+Dati!$O$227+Dati!$Q$227),(Dati!$O$227+Dati!$Q$227)/Dati!$D$237)))),0)</f>
        <v>0</v>
      </c>
      <c r="M42" s="83">
        <f>IF((IF(Dati!$D$237=3,(Dati!L155+Dati!N155+Dati!Y155+Dati!U155+Dati!V155+Dati!W155),(Dati!N155+Dati!Y155+Dati!V155+Dati!W155)/Dati!$D$237))&gt;0,((IF(Dati!$D$237=3,(Dati!R155+Dati!S155+Dati!AC155),(Dati!S155+Dati!AC155)/Dati!$D$237)/(IF(Dati!$D$237=3,(Dati!L155+Dati!N155+Dati!Y155+Dati!U155+Dati!V155+Dati!W155),(Dati!N155+Dati!Y155+Dati!V155+Dati!W155)/Dati!$D$237)))),0)</f>
        <v>0.865572771421096</v>
      </c>
    </row>
    <row r="43" spans="1:13" ht="25.5" customHeight="1">
      <c r="A43" s="180" t="s">
        <v>765</v>
      </c>
      <c r="B43" s="79" t="s">
        <v>578</v>
      </c>
      <c r="C43" s="60" t="s">
        <v>303</v>
      </c>
      <c r="D43" s="54">
        <f>IF(Dati!$D$227&gt;0,(Dati!D156/Dati!$D$227),0)</f>
        <v>0.007366570390703208</v>
      </c>
      <c r="E43" s="54">
        <f>IF(Dati!$E$227&gt;0,(Dati!E156/Dati!$E$227),0)</f>
        <v>0</v>
      </c>
      <c r="F43" s="54">
        <f>IF((Dati!D156-Dati!E156+Dati!K156)&gt;0,((Dati!J156)/(Dati!D156-Dati!E156+Dati!K156)),0)</f>
        <v>1</v>
      </c>
      <c r="G43" s="54">
        <f>IF(Dati!$F$227&gt;0,(Dati!F156/Dati!$F$227),0)</f>
        <v>0.012928427281156401</v>
      </c>
      <c r="H43" s="54">
        <f>IF(Dati!$G$227&gt;0,(Dati!G156/Dati!$G$227),0)</f>
        <v>0</v>
      </c>
      <c r="I43" s="54">
        <f>IF(Dati!$H$227&gt;0,(Dati!H156/Dati!$H$227),0)</f>
        <v>0.007568351661019601</v>
      </c>
      <c r="J43" s="54">
        <f>IF(Dati!$I$227&gt;0,(Dati!I156/Dati!$I$227),0)</f>
        <v>0</v>
      </c>
      <c r="K43" s="54">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0.012366074189411302</v>
      </c>
      <c r="L43" s="83">
        <f>IF((IF(Dati!$D$237=3,(Dati!$M$227+Dati!$O$227+Dati!$Q$227),(Dati!$O$227+Dati!$Q$227)/Dati!$D$237))&gt;0,((IF(Dati!$D$237=3,(Dati!M156+Dati!O156+Dati!Q156),(Dati!O156+Dati!Q156)/Dati!$D$237)/(IF(Dati!$D$237=3,(Dati!$M$227+Dati!$O$227+Dati!$Q$227),(Dati!$O$227+Dati!$Q$227)/Dati!$D$237)))),0)</f>
        <v>0.0004305019968714726</v>
      </c>
      <c r="M43" s="83">
        <f>IF((IF(Dati!$D$237=3,(Dati!L156+Dati!N156+Dati!Y156+Dati!U156+Dati!V156+Dati!W156),(Dati!N156+Dati!Y156+Dati!V156+Dati!W156)/Dati!$D$237))&gt;0,((IF(Dati!$D$237=3,(Dati!R156+Dati!S156+Dati!AC156),(Dati!S156+Dati!AC156)/Dati!$D$237)/(IF(Dati!$D$237=3,(Dati!L156+Dati!N156+Dati!Y156+Dati!U156+Dati!V156+Dati!W156),(Dati!N156+Dati!Y156+Dati!V156+Dati!W156)/Dati!$D$237)))),0)</f>
        <v>0.9890157413878949</v>
      </c>
    </row>
    <row r="44" spans="1:13" ht="37.5" customHeight="1">
      <c r="A44" s="181" t="s">
        <v>581</v>
      </c>
      <c r="B44" s="79" t="s">
        <v>572</v>
      </c>
      <c r="C44" s="60" t="s">
        <v>766</v>
      </c>
      <c r="D44" s="54">
        <f>IF(Dati!$D$227&gt;0,(Dati!D157/Dati!$D$227),0)</f>
        <v>0.002966048854665757</v>
      </c>
      <c r="E44" s="54">
        <f>IF(Dati!$E$227&gt;0,(Dati!E157/Dati!$E$227),0)</f>
        <v>0</v>
      </c>
      <c r="F44" s="54">
        <f>IF((Dati!D157-Dati!E157+Dati!K157)&gt;0,((Dati!J157)/(Dati!D157-Dati!E157+Dati!K157)),0)</f>
        <v>1</v>
      </c>
      <c r="G44" s="54">
        <f>IF(Dati!$F$227&gt;0,(Dati!F157/Dati!$F$227),0)</f>
        <v>0.012743750113319217</v>
      </c>
      <c r="H44" s="54">
        <f>IF(Dati!$G$227&gt;0,(Dati!G157/Dati!$G$227),0)</f>
        <v>0</v>
      </c>
      <c r="I44" s="54">
        <f>IF(Dati!$H$227&gt;0,(Dati!H157/Dati!$H$227),0)</f>
        <v>0.0031321036339941803</v>
      </c>
      <c r="J44" s="54">
        <f>IF(Dati!$I$227&gt;0,(Dati!I157/Dati!$I$227),0)</f>
        <v>0</v>
      </c>
      <c r="K44" s="54">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0.009106796311591907</v>
      </c>
      <c r="L44" s="83">
        <f>IF((IF(Dati!$D$237=3,(Dati!$M$227+Dati!$O$227+Dati!$Q$227),(Dati!$O$227+Dati!$Q$227)/Dati!$D$237))&gt;0,((IF(Dati!$D$237=3,(Dati!M157+Dati!O157+Dati!Q157),(Dati!O157+Dati!Q157)/Dati!$D$237)/(IF(Dati!$D$237=3,(Dati!$M$227+Dati!$O$227+Dati!$Q$227),(Dati!$O$227+Dati!$Q$227)/Dati!$D$237)))),0)</f>
        <v>0.033010591727164904</v>
      </c>
      <c r="M44" s="83">
        <f>IF((IF(Dati!$D$237=3,(Dati!L157+Dati!N157+Dati!Y157+Dati!U157+Dati!V157+Dati!W157),(Dati!N157+Dati!Y157+Dati!V157+Dati!W157)/Dati!$D$237))&gt;0,((IF(Dati!$D$237=3,(Dati!R157+Dati!S157+Dati!AC157),(Dati!S157+Dati!AC157)/Dati!$D$237)/(IF(Dati!$D$237=3,(Dati!L157+Dati!N157+Dati!Y157+Dati!U157+Dati!V157+Dati!W157),(Dati!N157+Dati!Y157+Dati!V157+Dati!W157)/Dati!$D$237)))),0)</f>
        <v>0.8690836802283909</v>
      </c>
    </row>
    <row r="45" spans="1:13" ht="40.5" customHeight="1">
      <c r="A45" s="181" t="s">
        <v>581</v>
      </c>
      <c r="B45" s="169" t="s">
        <v>765</v>
      </c>
      <c r="C45" s="170"/>
      <c r="D45" s="54">
        <f>IF(Dati!$D$227&gt;0,(Dati!D158/Dati!$D$227),0)</f>
        <v>0.010332619245368964</v>
      </c>
      <c r="E45" s="54">
        <f>IF(Dati!$E$227&gt;0,(Dati!E158/Dati!$E$227),0)</f>
        <v>0</v>
      </c>
      <c r="F45" s="54">
        <f>IF((Dati!D158-Dati!E158+Dati!K158)&gt;0,((Dati!J158)/(Dati!D158-Dati!E158+Dati!K158)),0)</f>
        <v>1.0000000000000002</v>
      </c>
      <c r="G45" s="54">
        <f>IF(Dati!$F$227&gt;0,(Dati!F158/Dati!$F$227),0)</f>
        <v>0.025672177394475616</v>
      </c>
      <c r="H45" s="54">
        <f>IF(Dati!$G$227&gt;0,(Dati!G158/Dati!$G$227),0)</f>
        <v>0</v>
      </c>
      <c r="I45" s="54">
        <f>IF(Dati!$H$227&gt;0,(Dati!H158/Dati!$H$227),0)</f>
        <v>0.010700455295013782</v>
      </c>
      <c r="J45" s="54">
        <f>IF(Dati!$I$227&gt;0,(Dati!I158/Dati!$I$227),0)</f>
        <v>0</v>
      </c>
      <c r="K45" s="54">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0.021472870501003206</v>
      </c>
      <c r="L45" s="83">
        <f>IF((IF(Dati!$D$237=3,(Dati!$M$227+Dati!$O$227+Dati!$Q$227),(Dati!$O$227+Dati!$Q$227)/Dati!$D$237))&gt;0,((IF(Dati!$D$237=3,(Dati!M158+Dati!O158+Dati!Q158),(Dati!O158+Dati!Q158)/Dati!$D$237)/(IF(Dati!$D$237=3,(Dati!$M$227+Dati!$O$227+Dati!$Q$227),(Dati!$O$227+Dati!$Q$227)/Dati!$D$237)))),0)</f>
        <v>0.03344109372403637</v>
      </c>
      <c r="M45" s="83">
        <f>IF((IF(Dati!$D$237=3,(Dati!L158+Dati!N158+Dati!Y158+Dati!U158+Dati!V158+Dati!W158),(Dati!N158+Dati!Y158+Dati!V158+Dati!W158)/Dati!$D$237))&gt;0,((IF(Dati!$D$237=3,(Dati!R158+Dati!S158+Dati!AC158),(Dati!S158+Dati!AC158)/Dati!$D$237)/(IF(Dati!$D$237=3,(Dati!L158+Dati!N158+Dati!Y158+Dati!U158+Dati!V158+Dati!W158),(Dati!N158+Dati!Y158+Dati!V158+Dati!W158)/Dati!$D$237)))),0)</f>
        <v>0.9372615618445742</v>
      </c>
    </row>
    <row r="46" spans="1:13" ht="12.75" customHeight="1">
      <c r="A46" s="180" t="s">
        <v>767</v>
      </c>
      <c r="B46" s="76" t="s">
        <v>560</v>
      </c>
      <c r="C46" s="77" t="s">
        <v>309</v>
      </c>
      <c r="D46" s="54">
        <f>IF(Dati!$D$227&gt;0,(Dati!D159/Dati!$D$227),0)</f>
        <v>0.00019971828742843908</v>
      </c>
      <c r="E46" s="54">
        <f>IF(Dati!$E$227&gt;0,(Dati!E159/Dati!$E$227),0)</f>
        <v>0</v>
      </c>
      <c r="F46" s="54">
        <f>IF((Dati!D159-Dati!E159+Dati!K159)&gt;0,((Dati!J159)/(Dati!D159-Dati!E159+Dati!K159)),0)</f>
        <v>1</v>
      </c>
      <c r="G46" s="54">
        <f>IF(Dati!$F$227&gt;0,(Dati!F159/Dati!$F$227),0)</f>
        <v>0</v>
      </c>
      <c r="H46" s="54">
        <f>IF(Dati!$G$227&gt;0,(Dati!G159/Dati!$G$227),0)</f>
        <v>0</v>
      </c>
      <c r="I46" s="54">
        <f>IF(Dati!$H$227&gt;0,(Dati!H159/Dati!$H$227),0)</f>
        <v>0</v>
      </c>
      <c r="J46" s="54">
        <f>IF(Dati!$I$227&gt;0,(Dati!I159/Dati!$I$227),0)</f>
        <v>0</v>
      </c>
      <c r="K46" s="54">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0.0012912065880522833</v>
      </c>
      <c r="L46" s="83">
        <f>IF((IF(Dati!$D$237=3,(Dati!$M$227+Dati!$O$227+Dati!$Q$227),(Dati!$O$227+Dati!$Q$227)/Dati!$D$237))&gt;0,((IF(Dati!$D$237=3,(Dati!M159+Dati!O159+Dati!Q159),(Dati!O159+Dati!Q159)/Dati!$D$237)/(IF(Dati!$D$237=3,(Dati!$M$227+Dati!$O$227+Dati!$Q$227),(Dati!$O$227+Dati!$Q$227)/Dati!$D$237)))),0)</f>
        <v>0</v>
      </c>
      <c r="M46" s="83">
        <f>IF((IF(Dati!$D$237=3,(Dati!L159+Dati!N159+Dati!Y159+Dati!U159+Dati!V159+Dati!W159),(Dati!N159+Dati!Y159+Dati!V159+Dati!W159)/Dati!$D$237))&gt;0,((IF(Dati!$D$237=3,(Dati!R159+Dati!S159+Dati!AC159),(Dati!S159+Dati!AC159)/Dati!$D$237)/(IF(Dati!$D$237=3,(Dati!L159+Dati!N159+Dati!Y159+Dati!U159+Dati!V159+Dati!W159),(Dati!N159+Dati!Y159+Dati!V159+Dati!W159)/Dati!$D$237)))),0)</f>
        <v>1</v>
      </c>
    </row>
    <row r="47" spans="1:13" ht="24.75" customHeight="1">
      <c r="A47" s="181" t="s">
        <v>582</v>
      </c>
      <c r="B47" s="79" t="s">
        <v>572</v>
      </c>
      <c r="C47" s="60" t="s">
        <v>768</v>
      </c>
      <c r="D47" s="54">
        <f>IF(Dati!$D$227&gt;0,(Dati!D160/Dati!$D$227),0)</f>
        <v>0.005848388664149288</v>
      </c>
      <c r="E47" s="54">
        <f>IF(Dati!$E$227&gt;0,(Dati!E160/Dati!$E$227),0)</f>
        <v>0</v>
      </c>
      <c r="F47" s="54">
        <f>IF((Dati!D160-Dati!E160+Dati!K160)&gt;0,((Dati!J160)/(Dati!D160-Dati!E160+Dati!K160)),0)</f>
        <v>1.0000000000000002</v>
      </c>
      <c r="G47" s="54">
        <f>IF(Dati!$F$227&gt;0,(Dati!F160/Dati!$F$227),0)</f>
        <v>0.008493101278248889</v>
      </c>
      <c r="H47" s="54">
        <f>IF(Dati!$G$227&gt;0,(Dati!G160/Dati!$G$227),0)</f>
        <v>0</v>
      </c>
      <c r="I47" s="54">
        <f>IF(Dati!$H$227&gt;0,(Dati!H160/Dati!$H$227),0)</f>
        <v>0.009147366926563613</v>
      </c>
      <c r="J47" s="54">
        <f>IF(Dati!$I$227&gt;0,(Dati!I160/Dati!$I$227),0)</f>
        <v>0</v>
      </c>
      <c r="K47" s="54">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0.014264908888078529</v>
      </c>
      <c r="L47" s="83">
        <f>IF((IF(Dati!$D$237=3,(Dati!$M$227+Dati!$O$227+Dati!$Q$227),(Dati!$O$227+Dati!$Q$227)/Dati!$D$237))&gt;0,((IF(Dati!$D$237=3,(Dati!M160+Dati!O160+Dati!Q160),(Dati!O160+Dati!Q160)/Dati!$D$237)/(IF(Dati!$D$237=3,(Dati!$M$227+Dati!$O$227+Dati!$Q$227),(Dati!$O$227+Dati!$Q$227)/Dati!$D$237)))),0)</f>
        <v>0.005081515043862414</v>
      </c>
      <c r="M47" s="83">
        <f>IF((IF(Dati!$D$237=3,(Dati!L160+Dati!N160+Dati!Y160+Dati!U160+Dati!V160+Dati!W160),(Dati!N160+Dati!Y160+Dati!V160+Dati!W160)/Dati!$D$237))&gt;0,((IF(Dati!$D$237=3,(Dati!R160+Dati!S160+Dati!AC160),(Dati!S160+Dati!AC160)/Dati!$D$237)/(IF(Dati!$D$237=3,(Dati!L160+Dati!N160+Dati!Y160+Dati!U160+Dati!V160+Dati!W160),(Dati!N160+Dati!Y160+Dati!V160+Dati!W160)/Dati!$D$237)))),0)</f>
        <v>0.8690845810084002</v>
      </c>
    </row>
    <row r="48" spans="1:13" ht="12" customHeight="1">
      <c r="A48" s="181" t="s">
        <v>582</v>
      </c>
      <c r="B48" s="76" t="s">
        <v>583</v>
      </c>
      <c r="C48" s="77" t="s">
        <v>313</v>
      </c>
      <c r="D48" s="54">
        <f>IF(Dati!$D$227&gt;0,(Dati!D161/Dati!$D$227),0)</f>
        <v>0.05276592116753694</v>
      </c>
      <c r="E48" s="54">
        <f>IF(Dati!$E$227&gt;0,(Dati!E161/Dati!$E$227),0)</f>
        <v>0</v>
      </c>
      <c r="F48" s="54">
        <f>IF((Dati!D161-Dati!E161+Dati!K161)&gt;0,((Dati!J161)/(Dati!D161-Dati!E161+Dati!K161)),0)</f>
        <v>1</v>
      </c>
      <c r="G48" s="54">
        <f>IF(Dati!$F$227&gt;0,(Dati!F161/Dati!$F$227),0)</f>
        <v>0.06491928329980805</v>
      </c>
      <c r="H48" s="54">
        <f>IF(Dati!$G$227&gt;0,(Dati!G161/Dati!$G$227),0)</f>
        <v>0</v>
      </c>
      <c r="I48" s="54">
        <f>IF(Dati!$H$227&gt;0,(Dati!H161/Dati!$H$227),0)</f>
        <v>0.06992033716514398</v>
      </c>
      <c r="J48" s="54">
        <f>IF(Dati!$I$227&gt;0,(Dati!I161/Dati!$I$227),0)</f>
        <v>0</v>
      </c>
      <c r="K48" s="54">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0.06719216388477794</v>
      </c>
      <c r="L48" s="83">
        <f>IF((IF(Dati!$D$237=3,(Dati!$M$227+Dati!$O$227+Dati!$Q$227),(Dati!$O$227+Dati!$Q$227)/Dati!$D$237))&gt;0,((IF(Dati!$D$237=3,(Dati!M161+Dati!O161+Dati!Q161),(Dati!O161+Dati!Q161)/Dati!$D$237)/(IF(Dati!$D$237=3,(Dati!$M$227+Dati!$O$227+Dati!$Q$227),(Dati!$O$227+Dati!$Q$227)/Dati!$D$237)))),0)</f>
        <v>0.01580812414409562</v>
      </c>
      <c r="M48" s="83">
        <f>IF((IF(Dati!$D$237=3,(Dati!L161+Dati!N161+Dati!Y161+Dati!U161+Dati!V161+Dati!W161),(Dati!N161+Dati!Y161+Dati!V161+Dati!W161)/Dati!$D$237))&gt;0,((IF(Dati!$D$237=3,(Dati!R161+Dati!S161+Dati!AC161),(Dati!S161+Dati!AC161)/Dati!$D$237)/(IF(Dati!$D$237=3,(Dati!L161+Dati!N161+Dati!Y161+Dati!U161+Dati!V161+Dati!W161),(Dati!N161+Dati!Y161+Dati!V161+Dati!W161)/Dati!$D$237)))),0)</f>
        <v>0.9064192931719516</v>
      </c>
    </row>
    <row r="49" spans="1:13" ht="12" customHeight="1">
      <c r="A49" s="181" t="s">
        <v>582</v>
      </c>
      <c r="B49" s="76" t="s">
        <v>574</v>
      </c>
      <c r="C49" s="77" t="s">
        <v>315</v>
      </c>
      <c r="D49" s="54">
        <f>IF(Dati!$D$227&gt;0,(Dati!D162/Dati!$D$227),0)</f>
        <v>0.0016061326963660374</v>
      </c>
      <c r="E49" s="54">
        <f>IF(Dati!$E$227&gt;0,(Dati!E162/Dati!$E$227),0)</f>
        <v>0</v>
      </c>
      <c r="F49" s="54">
        <f>IF((Dati!D162-Dati!E162+Dati!K162)&gt;0,((Dati!J162)/(Dati!D162-Dati!E162+Dati!K162)),0)</f>
        <v>1.0000000000000002</v>
      </c>
      <c r="G49" s="54">
        <f>IF(Dati!$F$227&gt;0,(Dati!F162/Dati!$F$227),0)</f>
        <v>0.0020530925664941028</v>
      </c>
      <c r="H49" s="54">
        <f>IF(Dati!$G$227&gt;0,(Dati!G162/Dati!$G$227),0)</f>
        <v>0</v>
      </c>
      <c r="I49" s="54">
        <f>IF(Dati!$H$227&gt;0,(Dati!H162/Dati!$H$227),0)</f>
        <v>0.0021500461343681473</v>
      </c>
      <c r="J49" s="54">
        <f>IF(Dati!$I$227&gt;0,(Dati!I162/Dati!$I$227),0)</f>
        <v>0</v>
      </c>
      <c r="K49" s="54">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0.0034221005241788743</v>
      </c>
      <c r="L49" s="83">
        <f>IF((IF(Dati!$D$237=3,(Dati!$M$227+Dati!$O$227+Dati!$Q$227),(Dati!$O$227+Dati!$Q$227)/Dati!$D$237))&gt;0,((IF(Dati!$D$237=3,(Dati!M162+Dati!O162+Dati!Q162),(Dati!O162+Dati!Q162)/Dati!$D$237)/(IF(Dati!$D$237=3,(Dati!$M$227+Dati!$O$227+Dati!$Q$227),(Dati!$O$227+Dati!$Q$227)/Dati!$D$237)))),0)</f>
        <v>0</v>
      </c>
      <c r="M49" s="83">
        <f>IF((IF(Dati!$D$237=3,(Dati!L162+Dati!N162+Dati!Y162+Dati!U162+Dati!V162+Dati!W162),(Dati!N162+Dati!Y162+Dati!V162+Dati!W162)/Dati!$D$237))&gt;0,((IF(Dati!$D$237=3,(Dati!R162+Dati!S162+Dati!AC162),(Dati!S162+Dati!AC162)/Dati!$D$237)/(IF(Dati!$D$237=3,(Dati!L162+Dati!N162+Dati!Y162+Dati!U162+Dati!V162+Dati!W162),(Dati!N162+Dati!Y162+Dati!V162+Dati!W162)/Dati!$D$237)))),0)</f>
        <v>0.8849644222233465</v>
      </c>
    </row>
    <row r="50" spans="1:13" ht="45.75" customHeight="1">
      <c r="A50" s="181" t="s">
        <v>582</v>
      </c>
      <c r="B50" s="79" t="s">
        <v>564</v>
      </c>
      <c r="C50" s="60" t="s">
        <v>769</v>
      </c>
      <c r="D50" s="54">
        <f>IF(Dati!$D$227&gt;0,(Dati!D163/Dati!$D$227),0)</f>
        <v>0.00016541906838995208</v>
      </c>
      <c r="E50" s="54">
        <f>IF(Dati!$E$227&gt;0,(Dati!E163/Dati!$E$227),0)</f>
        <v>0</v>
      </c>
      <c r="F50" s="54">
        <f>IF((Dati!D163-Dati!E163+Dati!K163)&gt;0,((Dati!J163)/(Dati!D163-Dati!E163+Dati!K163)),0)</f>
        <v>1</v>
      </c>
      <c r="G50" s="54">
        <f>IF(Dati!$F$227&gt;0,(Dati!F163/Dati!$F$227),0)</f>
        <v>2.0327051891581974E-05</v>
      </c>
      <c r="H50" s="54">
        <f>IF(Dati!$G$227&gt;0,(Dati!G163/Dati!$G$227),0)</f>
        <v>0</v>
      </c>
      <c r="I50" s="54">
        <f>IF(Dati!$H$227&gt;0,(Dati!H163/Dati!$H$227),0)</f>
        <v>2.189294535599089E-05</v>
      </c>
      <c r="J50" s="54">
        <f>IF(Dati!$I$227&gt;0,(Dati!I163/Dati!$I$227),0)</f>
        <v>0</v>
      </c>
      <c r="K50" s="54">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0.0012540657035696981</v>
      </c>
      <c r="L50" s="83">
        <f>IF((IF(Dati!$D$237=3,(Dati!$M$227+Dati!$O$227+Dati!$Q$227),(Dati!$O$227+Dati!$Q$227)/Dati!$D$237))&gt;0,((IF(Dati!$D$237=3,(Dati!M163+Dati!O163+Dati!Q163),(Dati!O163+Dati!Q163)/Dati!$D$237)/(IF(Dati!$D$237=3,(Dati!$M$227+Dati!$O$227+Dati!$Q$227),(Dati!$O$227+Dati!$Q$227)/Dati!$D$237)))),0)</f>
        <v>0</v>
      </c>
      <c r="M50" s="83">
        <f>IF((IF(Dati!$D$237=3,(Dati!L163+Dati!N163+Dati!Y163+Dati!U163+Dati!V163+Dati!W163),(Dati!N163+Dati!Y163+Dati!V163+Dati!W163)/Dati!$D$237))&gt;0,((IF(Dati!$D$237=3,(Dati!R163+Dati!S163+Dati!AC163),(Dati!S163+Dati!AC163)/Dati!$D$237)/(IF(Dati!$D$237=3,(Dati!L163+Dati!N163+Dati!Y163+Dati!U163+Dati!V163+Dati!W163),(Dati!N163+Dati!Y163+Dati!V163+Dati!W163)/Dati!$D$237)))),0)</f>
        <v>1</v>
      </c>
    </row>
    <row r="51" spans="1:13" ht="33.75" customHeight="1">
      <c r="A51" s="181" t="s">
        <v>582</v>
      </c>
      <c r="B51" s="79" t="s">
        <v>584</v>
      </c>
      <c r="C51" s="60" t="s">
        <v>770</v>
      </c>
      <c r="D51" s="54">
        <f>IF(Dati!$D$227&gt;0,(Dati!D164/Dati!$D$227),0)</f>
        <v>0</v>
      </c>
      <c r="E51" s="54">
        <f>IF(Dati!$E$227&gt;0,(Dati!E164/Dati!$E$227),0)</f>
        <v>0</v>
      </c>
      <c r="F51" s="54">
        <f>IF((Dati!D164-Dati!E164+Dati!K164)&gt;0,((Dati!J164)/(Dati!D164-Dati!E164+Dati!K164)),0)</f>
        <v>0</v>
      </c>
      <c r="G51" s="54">
        <f>IF(Dati!$F$227&gt;0,(Dati!F164/Dati!$F$227),0)</f>
        <v>0</v>
      </c>
      <c r="H51" s="54">
        <f>IF(Dati!$G$227&gt;0,(Dati!G164/Dati!$G$227),0)</f>
        <v>0</v>
      </c>
      <c r="I51" s="54">
        <f>IF(Dati!$H$227&gt;0,(Dati!H164/Dati!$H$227),0)</f>
        <v>0</v>
      </c>
      <c r="J51" s="54">
        <f>IF(Dati!$I$227&gt;0,(Dati!I164/Dati!$I$227),0)</f>
        <v>0</v>
      </c>
      <c r="K51" s="54">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3">
        <f>IF((IF(Dati!$D$237=3,(Dati!$M$227+Dati!$O$227+Dati!$Q$227),(Dati!$O$227+Dati!$Q$227)/Dati!$D$237))&gt;0,((IF(Dati!$D$237=3,(Dati!M164+Dati!O164+Dati!Q164),(Dati!O164+Dati!Q164)/Dati!$D$237)/(IF(Dati!$D$237=3,(Dati!$M$227+Dati!$O$227+Dati!$Q$227),(Dati!$O$227+Dati!$Q$227)/Dati!$D$237)))),0)</f>
        <v>0</v>
      </c>
      <c r="M51" s="83">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81" t="s">
        <v>582</v>
      </c>
      <c r="B52" s="79" t="s">
        <v>566</v>
      </c>
      <c r="C52" s="60" t="s">
        <v>771</v>
      </c>
      <c r="D52" s="54">
        <f>IF(Dati!$D$227&gt;0,(Dati!D165/Dati!$D$227),0)</f>
        <v>0</v>
      </c>
      <c r="E52" s="54">
        <f>IF(Dati!$E$227&gt;0,(Dati!E165/Dati!$E$227),0)</f>
        <v>0</v>
      </c>
      <c r="F52" s="54">
        <f>IF((Dati!D165-Dati!E165+Dati!K165)&gt;0,((Dati!J165)/(Dati!D165-Dati!E165+Dati!K165)),0)</f>
        <v>0</v>
      </c>
      <c r="G52" s="54">
        <f>IF(Dati!$F$227&gt;0,(Dati!F165/Dati!$F$227),0)</f>
        <v>0</v>
      </c>
      <c r="H52" s="54">
        <f>IF(Dati!$G$227&gt;0,(Dati!G165/Dati!$G$227),0)</f>
        <v>0</v>
      </c>
      <c r="I52" s="54">
        <f>IF(Dati!$H$227&gt;0,(Dati!H165/Dati!$H$227),0)</f>
        <v>0</v>
      </c>
      <c r="J52" s="54">
        <f>IF(Dati!$I$227&gt;0,(Dati!I165/Dati!$I$227),0)</f>
        <v>0</v>
      </c>
      <c r="K52" s="54">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3">
        <f>IF((IF(Dati!$D$237=3,(Dati!$M$227+Dati!$O$227+Dati!$Q$227),(Dati!$O$227+Dati!$Q$227)/Dati!$D$237))&gt;0,((IF(Dati!$D$237=3,(Dati!M165+Dati!O165+Dati!Q165),(Dati!O165+Dati!Q165)/Dati!$D$237)/(IF(Dati!$D$237=3,(Dati!$M$227+Dati!$O$227+Dati!$Q$227),(Dati!$O$227+Dati!$Q$227)/Dati!$D$237)))),0)</f>
        <v>0</v>
      </c>
      <c r="M52" s="8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81" t="s">
        <v>582</v>
      </c>
      <c r="B53" s="79" t="s">
        <v>585</v>
      </c>
      <c r="C53" s="60" t="s">
        <v>772</v>
      </c>
      <c r="D53" s="54">
        <f>IF(Dati!$D$227&gt;0,(Dati!D166/Dati!$D$227),0)</f>
        <v>0</v>
      </c>
      <c r="E53" s="54">
        <f>IF(Dati!$E$227&gt;0,(Dati!E166/Dati!$E$227),0)</f>
        <v>0</v>
      </c>
      <c r="F53" s="54">
        <f>IF((Dati!D166-Dati!E166+Dati!K166)&gt;0,((Dati!J166)/(Dati!D166-Dati!E166+Dati!K166)),0)</f>
        <v>1</v>
      </c>
      <c r="G53" s="54">
        <f>IF(Dati!$F$227&gt;0,(Dati!F166/Dati!$F$227),0)</f>
        <v>0</v>
      </c>
      <c r="H53" s="54">
        <f>IF(Dati!$G$227&gt;0,(Dati!G166/Dati!$G$227),0)</f>
        <v>0</v>
      </c>
      <c r="I53" s="54">
        <f>IF(Dati!$H$227&gt;0,(Dati!H166/Dati!$H$227),0)</f>
        <v>0</v>
      </c>
      <c r="J53" s="54">
        <f>IF(Dati!$I$227&gt;0,(Dati!I166/Dati!$I$227),0)</f>
        <v>0</v>
      </c>
      <c r="K53" s="54">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0.00010469242605829323</v>
      </c>
      <c r="L53" s="83">
        <f>IF((IF(Dati!$D$237=3,(Dati!$M$227+Dati!$O$227+Dati!$Q$227),(Dati!$O$227+Dati!$Q$227)/Dati!$D$237))&gt;0,((IF(Dati!$D$237=3,(Dati!M166+Dati!O166+Dati!Q166),(Dati!O166+Dati!Q166)/Dati!$D$237)/(IF(Dati!$D$237=3,(Dati!$M$227+Dati!$O$227+Dati!$Q$227),(Dati!$O$227+Dati!$Q$227)/Dati!$D$237)))),0)</f>
        <v>0</v>
      </c>
      <c r="M53" s="83">
        <f>IF((IF(Dati!$D$237=3,(Dati!L166+Dati!N166+Dati!Y166+Dati!U166+Dati!V166+Dati!W166),(Dati!N166+Dati!Y166+Dati!V166+Dati!W166)/Dati!$D$237))&gt;0,((IF(Dati!$D$237=3,(Dati!R166+Dati!S166+Dati!AC166),(Dati!S166+Dati!AC166)/Dati!$D$237)/(IF(Dati!$D$237=3,(Dati!L166+Dati!N166+Dati!Y166+Dati!U166+Dati!V166+Dati!W166),(Dati!N166+Dati!Y166+Dati!V166+Dati!W166)/Dati!$D$237)))),0)</f>
        <v>1</v>
      </c>
    </row>
    <row r="54" spans="1:13" ht="47.25" customHeight="1">
      <c r="A54" s="181" t="s">
        <v>582</v>
      </c>
      <c r="B54" s="170" t="s">
        <v>773</v>
      </c>
      <c r="C54" s="170"/>
      <c r="D54" s="54">
        <f>IF(Dati!$D$227&gt;0,(Dati!D167/Dati!$D$227),0)</f>
        <v>0.06058557988387066</v>
      </c>
      <c r="E54" s="54">
        <f>IF(Dati!$E$227&gt;0,(Dati!E167/Dati!$E$227),0)</f>
        <v>0</v>
      </c>
      <c r="F54" s="54">
        <f>IF((Dati!D167-Dati!E167+Dati!K167)&gt;0,((Dati!J167)/(Dati!D167-Dati!E167+Dati!K167)),0)</f>
        <v>1</v>
      </c>
      <c r="G54" s="54">
        <f>IF(Dati!$F$227&gt;0,(Dati!F167/Dati!$F$227),0)</f>
        <v>0.07548580419644262</v>
      </c>
      <c r="H54" s="54">
        <f>IF(Dati!$G$227&gt;0,(Dati!G167/Dati!$G$227),0)</f>
        <v>0</v>
      </c>
      <c r="I54" s="54">
        <f>IF(Dati!$H$227&gt;0,(Dati!H167/Dati!$H$227),0)</f>
        <v>0.08123964317143173</v>
      </c>
      <c r="J54" s="54">
        <f>IF(Dati!$I$227&gt;0,(Dati!I167/Dati!$I$227),0)</f>
        <v>0</v>
      </c>
      <c r="K54" s="54">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0.08752913801471562</v>
      </c>
      <c r="L54" s="83">
        <f>IF((IF(Dati!$D$237=3,(Dati!$M$227+Dati!$O$227+Dati!$Q$227),(Dati!$O$227+Dati!$Q$227)/Dati!$D$237))&gt;0,((IF(Dati!$D$237=3,(Dati!M167+Dati!O167+Dati!Q167),(Dati!O167+Dati!Q167)/Dati!$D$237)/(IF(Dati!$D$237=3,(Dati!$M$227+Dati!$O$227+Dati!$Q$227),(Dati!$O$227+Dati!$Q$227)/Dati!$D$237)))),0)</f>
        <v>0.020889639187958033</v>
      </c>
      <c r="M54" s="83">
        <f>IF((IF(Dati!$D$237=3,(Dati!L167+Dati!N167+Dati!Y167+Dati!U167+Dati!V167+Dati!W167),(Dati!N167+Dati!Y167+Dati!V167+Dati!W167)/Dati!$D$237))&gt;0,((IF(Dati!$D$237=3,(Dati!R167+Dati!S167+Dati!AC167),(Dati!S167+Dati!AC167)/Dati!$D$237)/(IF(Dati!$D$237=3,(Dati!L167+Dati!N167+Dati!Y167+Dati!U167+Dati!V167+Dati!W167),(Dati!N167+Dati!Y167+Dati!V167+Dati!W167)/Dati!$D$237)))),0)</f>
        <v>0.9012105812235527</v>
      </c>
    </row>
    <row r="55" spans="1:13" ht="18.75" customHeight="1">
      <c r="A55" s="180" t="s">
        <v>774</v>
      </c>
      <c r="B55" s="76" t="s">
        <v>560</v>
      </c>
      <c r="C55" s="77" t="s">
        <v>327</v>
      </c>
      <c r="D55" s="54">
        <f>IF(Dati!$D$227&gt;0,(Dati!D168/Dati!$D$227),0)</f>
        <v>0</v>
      </c>
      <c r="E55" s="54">
        <f>IF(Dati!$E$227&gt;0,(Dati!E168/Dati!$E$227),0)</f>
        <v>0</v>
      </c>
      <c r="F55" s="54">
        <f>IF((Dati!D168-Dati!E168+Dati!K168)&gt;0,((Dati!J168)/(Dati!D168-Dati!E168+Dati!K168)),0)</f>
        <v>0</v>
      </c>
      <c r="G55" s="54">
        <f>IF(Dati!$F$227&gt;0,(Dati!F168/Dati!$F$227),0)</f>
        <v>0</v>
      </c>
      <c r="H55" s="54">
        <f>IF(Dati!$G$227&gt;0,(Dati!G168/Dati!$G$227),0)</f>
        <v>0</v>
      </c>
      <c r="I55" s="54">
        <f>IF(Dati!$H$227&gt;0,(Dati!H168/Dati!$H$227),0)</f>
        <v>0</v>
      </c>
      <c r="J55" s="54">
        <f>IF(Dati!$I$227&gt;0,(Dati!I168/Dati!$I$227),0)</f>
        <v>0</v>
      </c>
      <c r="K55" s="54">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3">
        <f>IF((IF(Dati!$D$237=3,(Dati!$M$227+Dati!$O$227+Dati!$Q$227),(Dati!$O$227+Dati!$Q$227)/Dati!$D$237))&gt;0,((IF(Dati!$D$237=3,(Dati!M168+Dati!O168+Dati!Q168),(Dati!O168+Dati!Q168)/Dati!$D$237)/(IF(Dati!$D$237=3,(Dati!$M$227+Dati!$O$227+Dati!$Q$227),(Dati!$O$227+Dati!$Q$227)/Dati!$D$237)))),0)</f>
        <v>0</v>
      </c>
      <c r="M55" s="8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81" t="s">
        <v>586</v>
      </c>
      <c r="B56" s="76" t="s">
        <v>561</v>
      </c>
      <c r="C56" s="77" t="s">
        <v>329</v>
      </c>
      <c r="D56" s="54">
        <f>IF(Dati!$D$227&gt;0,(Dati!D169/Dati!$D$227),0)</f>
        <v>0.0025647451932846953</v>
      </c>
      <c r="E56" s="54">
        <f>IF(Dati!$E$227&gt;0,(Dati!E169/Dati!$E$227),0)</f>
        <v>0</v>
      </c>
      <c r="F56" s="54">
        <f>IF((Dati!D169-Dati!E169+Dati!K169)&gt;0,((Dati!J169)/(Dati!D169-Dati!E169+Dati!K169)),0)</f>
        <v>1</v>
      </c>
      <c r="G56" s="54">
        <f>IF(Dati!$F$227&gt;0,(Dati!F169/Dati!$F$227),0)</f>
        <v>0.003365110655083829</v>
      </c>
      <c r="H56" s="54">
        <f>IF(Dati!$G$227&gt;0,(Dati!G169/Dati!$G$227),0)</f>
        <v>0</v>
      </c>
      <c r="I56" s="54">
        <f>IF(Dati!$H$227&gt;0,(Dati!H169/Dati!$H$227),0)</f>
        <v>0.0036243417924821044</v>
      </c>
      <c r="J56" s="54">
        <f>IF(Dati!$I$227&gt;0,(Dati!I169/Dati!$I$227),0)</f>
        <v>0</v>
      </c>
      <c r="K56" s="54">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0.004251051913228587</v>
      </c>
      <c r="L56" s="83">
        <f>IF((IF(Dati!$D$237=3,(Dati!$M$227+Dati!$O$227+Dati!$Q$227),(Dati!$O$227+Dati!$Q$227)/Dati!$D$237))&gt;0,((IF(Dati!$D$237=3,(Dati!M169+Dati!O169+Dati!Q169),(Dati!O169+Dati!Q169)/Dati!$D$237)/(IF(Dati!$D$237=3,(Dati!$M$227+Dati!$O$227+Dati!$Q$227),(Dati!$O$227+Dati!$Q$227)/Dati!$D$237)))),0)</f>
        <v>0</v>
      </c>
      <c r="M56" s="83">
        <f>IF((IF(Dati!$D$237=3,(Dati!L169+Dati!N169+Dati!Y169+Dati!U169+Dati!V169+Dati!W169),(Dati!N169+Dati!Y169+Dati!V169+Dati!W169)/Dati!$D$237))&gt;0,((IF(Dati!$D$237=3,(Dati!R169+Dati!S169+Dati!AC169),(Dati!S169+Dati!AC169)/Dati!$D$237)/(IF(Dati!$D$237=3,(Dati!L169+Dati!N169+Dati!Y169+Dati!U169+Dati!V169+Dati!W169),(Dati!N169+Dati!Y169+Dati!V169+Dati!W169)/Dati!$D$237)))),0)</f>
        <v>0.9361559635189959</v>
      </c>
    </row>
    <row r="57" spans="1:13" ht="16.5" customHeight="1">
      <c r="A57" s="181" t="s">
        <v>586</v>
      </c>
      <c r="B57" s="76" t="s">
        <v>583</v>
      </c>
      <c r="C57" s="77" t="s">
        <v>331</v>
      </c>
      <c r="D57" s="54">
        <f>IF(Dati!$D$227&gt;0,(Dati!D170/Dati!$D$227),0)</f>
        <v>0</v>
      </c>
      <c r="E57" s="54">
        <f>IF(Dati!$E$227&gt;0,(Dati!E170/Dati!$E$227),0)</f>
        <v>0</v>
      </c>
      <c r="F57" s="54">
        <f>IF((Dati!D170-Dati!E170+Dati!K170)&gt;0,((Dati!J170)/(Dati!D170-Dati!E170+Dati!K170)),0)</f>
        <v>0</v>
      </c>
      <c r="G57" s="54">
        <f>IF(Dati!$F$227&gt;0,(Dati!F170/Dati!$F$227),0)</f>
        <v>0</v>
      </c>
      <c r="H57" s="54">
        <f>IF(Dati!$G$227&gt;0,(Dati!G170/Dati!$G$227),0)</f>
        <v>0</v>
      </c>
      <c r="I57" s="54">
        <f>IF(Dati!$H$227&gt;0,(Dati!H170/Dati!$H$227),0)</f>
        <v>0</v>
      </c>
      <c r="J57" s="54">
        <f>IF(Dati!$I$227&gt;0,(Dati!I170/Dati!$I$227),0)</f>
        <v>0</v>
      </c>
      <c r="K57" s="54">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3">
        <f>IF((IF(Dati!$D$237=3,(Dati!$M$227+Dati!$O$227+Dati!$Q$227),(Dati!$O$227+Dati!$Q$227)/Dati!$D$237))&gt;0,((IF(Dati!$D$237=3,(Dati!M170+Dati!O170+Dati!Q170),(Dati!O170+Dati!Q170)/Dati!$D$237)/(IF(Dati!$D$237=3,(Dati!$M$227+Dati!$O$227+Dati!$Q$227),(Dati!$O$227+Dati!$Q$227)/Dati!$D$237)))),0)</f>
        <v>0</v>
      </c>
      <c r="M57" s="8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81" t="s">
        <v>586</v>
      </c>
      <c r="B58" s="76" t="s">
        <v>574</v>
      </c>
      <c r="C58" s="77" t="s">
        <v>333</v>
      </c>
      <c r="D58" s="54">
        <f>IF(Dati!$D$227&gt;0,(Dati!D171/Dati!$D$227),0)</f>
        <v>0</v>
      </c>
      <c r="E58" s="54">
        <f>IF(Dati!$E$227&gt;0,(Dati!E171/Dati!$E$227),0)</f>
        <v>0</v>
      </c>
      <c r="F58" s="54">
        <f>IF((Dati!D171-Dati!E171+Dati!K171)&gt;0,((Dati!J171)/(Dati!D171-Dati!E171+Dati!K171)),0)</f>
        <v>0</v>
      </c>
      <c r="G58" s="54">
        <f>IF(Dati!$F$227&gt;0,(Dati!F171/Dati!$F$227),0)</f>
        <v>0</v>
      </c>
      <c r="H58" s="54">
        <f>IF(Dati!$G$227&gt;0,(Dati!G171/Dati!$G$227),0)</f>
        <v>0</v>
      </c>
      <c r="I58" s="54">
        <f>IF(Dati!$H$227&gt;0,(Dati!H171/Dati!$H$227),0)</f>
        <v>0</v>
      </c>
      <c r="J58" s="54">
        <f>IF(Dati!$I$227&gt;0,(Dati!I171/Dati!$I$227),0)</f>
        <v>0</v>
      </c>
      <c r="K58" s="54">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3">
        <f>IF((IF(Dati!$D$237=3,(Dati!$M$227+Dati!$O$227+Dati!$Q$227),(Dati!$O$227+Dati!$Q$227)/Dati!$D$237))&gt;0,((IF(Dati!$D$237=3,(Dati!M171+Dati!O171+Dati!Q171),(Dati!O171+Dati!Q171)/Dati!$D$237)/(IF(Dati!$D$237=3,(Dati!$M$227+Dati!$O$227+Dati!$Q$227),(Dati!$O$227+Dati!$Q$227)/Dati!$D$237)))),0)</f>
        <v>0</v>
      </c>
      <c r="M58" s="83">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81" t="s">
        <v>586</v>
      </c>
      <c r="B59" s="81" t="s">
        <v>575</v>
      </c>
      <c r="C59" s="60" t="s">
        <v>335</v>
      </c>
      <c r="D59" s="54">
        <f>IF(Dati!$D$227&gt;0,(Dati!D172/Dati!$D$227),0)</f>
        <v>0.0738493610524064</v>
      </c>
      <c r="E59" s="54">
        <f>IF(Dati!$E$227&gt;0,(Dati!E172/Dati!$E$227),0)</f>
        <v>0</v>
      </c>
      <c r="F59" s="54">
        <f>IF((Dati!D172-Dati!E172+Dati!K172)&gt;0,((Dati!J172)/(Dati!D172-Dati!E172+Dati!K172)),0)</f>
        <v>1</v>
      </c>
      <c r="G59" s="54">
        <f>IF(Dati!$F$227&gt;0,(Dati!F172/Dati!$F$227),0)</f>
        <v>0.08508153919172551</v>
      </c>
      <c r="H59" s="54">
        <f>IF(Dati!$G$227&gt;0,(Dati!G172/Dati!$G$227),0)</f>
        <v>0</v>
      </c>
      <c r="I59" s="54">
        <f>IF(Dati!$H$227&gt;0,(Dati!H172/Dati!$H$227),0)</f>
        <v>0.1027973510360989</v>
      </c>
      <c r="J59" s="54">
        <f>IF(Dati!$I$227&gt;0,(Dati!I172/Dati!$I$227),0)</f>
        <v>0</v>
      </c>
      <c r="K59" s="54">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0.08821355851837968</v>
      </c>
      <c r="L59" s="83">
        <f>IF((IF(Dati!$D$237=3,(Dati!$M$227+Dati!$O$227+Dati!$Q$227),(Dati!$O$227+Dati!$Q$227)/Dati!$D$237))&gt;0,((IF(Dati!$D$237=3,(Dati!M172+Dati!O172+Dati!Q172),(Dati!O172+Dati!Q172)/Dati!$D$237)/(IF(Dati!$D$237=3,(Dati!$M$227+Dati!$O$227+Dati!$Q$227),(Dati!$O$227+Dati!$Q$227)/Dati!$D$237)))),0)</f>
        <v>0.2644231419354469</v>
      </c>
      <c r="M59" s="83">
        <f>IF((IF(Dati!$D$237=3,(Dati!L172+Dati!N172+Dati!Y172+Dati!U172+Dati!V172+Dati!W172),(Dati!N172+Dati!Y172+Dati!V172+Dati!W172)/Dati!$D$237))&gt;0,((IF(Dati!$D$237=3,(Dati!R172+Dati!S172+Dati!AC172),(Dati!S172+Dati!AC172)/Dati!$D$237)/(IF(Dati!$D$237=3,(Dati!L172+Dati!N172+Dati!Y172+Dati!U172+Dati!V172+Dati!W172),(Dati!N172+Dati!Y172+Dati!V172+Dati!W172)/Dati!$D$237)))),0)</f>
        <v>0.7972108573468822</v>
      </c>
    </row>
    <row r="60" spans="1:13" ht="32.25" customHeight="1">
      <c r="A60" s="181" t="s">
        <v>586</v>
      </c>
      <c r="B60" s="177" t="s">
        <v>775</v>
      </c>
      <c r="C60" s="178"/>
      <c r="D60" s="54">
        <f>IF(Dati!$D$227&gt;0,(Dati!D173/Dati!$D$227),0)</f>
        <v>0.07641410624569109</v>
      </c>
      <c r="E60" s="54">
        <f>IF(Dati!$E$227&gt;0,(Dati!E173/Dati!$E$227),0)</f>
        <v>0</v>
      </c>
      <c r="F60" s="54">
        <f>IF((Dati!D173-Dati!E173+Dati!K173)&gt;0,((Dati!J173)/(Dati!D173-Dati!E173+Dati!K173)),0)</f>
        <v>1</v>
      </c>
      <c r="G60" s="54">
        <f>IF(Dati!$F$227&gt;0,(Dati!F173/Dati!$F$227),0)</f>
        <v>0.08844664984680935</v>
      </c>
      <c r="H60" s="54">
        <f>IF(Dati!$G$227&gt;0,(Dati!G173/Dati!$G$227),0)</f>
        <v>0</v>
      </c>
      <c r="I60" s="54">
        <f>IF(Dati!$H$227&gt;0,(Dati!H173/Dati!$H$227),0)</f>
        <v>0.106421692828581</v>
      </c>
      <c r="J60" s="54">
        <f>IF(Dati!$I$227&gt;0,(Dati!I173/Dati!$I$227),0)</f>
        <v>0</v>
      </c>
      <c r="K60" s="54">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0.09246461043160828</v>
      </c>
      <c r="L60" s="83">
        <f>IF((IF(Dati!$D$237=3,(Dati!$M$227+Dati!$O$227+Dati!$Q$227),(Dati!$O$227+Dati!$Q$227)/Dati!$D$237))&gt;0,((IF(Dati!$D$237=3,(Dati!M173+Dati!O173+Dati!Q173),(Dati!O173+Dati!Q173)/Dati!$D$237)/(IF(Dati!$D$237=3,(Dati!$M$227+Dati!$O$227+Dati!$Q$227),(Dati!$O$227+Dati!$Q$227)/Dati!$D$237)))),0)</f>
        <v>0.2644231419354469</v>
      </c>
      <c r="M60" s="83">
        <f>IF((IF(Dati!$D$237=3,(Dati!L173+Dati!N173+Dati!Y173+Dati!U173+Dati!V173+Dati!W173),(Dati!N173+Dati!Y173+Dati!V173+Dati!W173)/Dati!$D$237))&gt;0,((IF(Dati!$D$237=3,(Dati!R173+Dati!S173+Dati!AC173),(Dati!S173+Dati!AC173)/Dati!$D$237)/(IF(Dati!$D$237=3,(Dati!L173+Dati!N173+Dati!Y173+Dati!U173+Dati!V173+Dati!W173),(Dati!N173+Dati!Y173+Dati!V173+Dati!W173)/Dati!$D$237)))),0)</f>
        <v>0.8037379859094561</v>
      </c>
    </row>
    <row r="61" spans="1:13" ht="12.75" customHeight="1">
      <c r="A61" s="180" t="s">
        <v>776</v>
      </c>
      <c r="B61" s="76" t="s">
        <v>560</v>
      </c>
      <c r="C61" s="77" t="s">
        <v>338</v>
      </c>
      <c r="D61" s="54">
        <f>IF(Dati!$D$227&gt;0,(Dati!D174/Dati!$D$227),0)</f>
        <v>0</v>
      </c>
      <c r="E61" s="54">
        <f>IF(Dati!$E$227&gt;0,(Dati!E174/Dati!$E$227),0)</f>
        <v>0</v>
      </c>
      <c r="F61" s="54">
        <f>IF((Dati!D174-Dati!E174+Dati!K174)&gt;0,((Dati!J174)/(Dati!D174-Dati!E174+Dati!K174)),0)</f>
        <v>1</v>
      </c>
      <c r="G61" s="54">
        <f>IF(Dati!$F$227&gt;0,(Dati!F174/Dati!$F$227),0)</f>
        <v>0</v>
      </c>
      <c r="H61" s="54">
        <f>IF(Dati!$G$227&gt;0,(Dati!G174/Dati!$G$227),0)</f>
        <v>0</v>
      </c>
      <c r="I61" s="54">
        <f>IF(Dati!$H$227&gt;0,(Dati!H174/Dati!$H$227),0)</f>
        <v>0</v>
      </c>
      <c r="J61" s="54">
        <f>IF(Dati!$I$227&gt;0,(Dati!I174/Dati!$I$227),0)</f>
        <v>0</v>
      </c>
      <c r="K61" s="54">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0.00023844946373181738</v>
      </c>
      <c r="L61" s="83">
        <f>IF((IF(Dati!$D$237=3,(Dati!$M$227+Dati!$O$227+Dati!$Q$227),(Dati!$O$227+Dati!$Q$227)/Dati!$D$237))&gt;0,((IF(Dati!$D$237=3,(Dati!M174+Dati!O174+Dati!Q174),(Dati!O174+Dati!Q174)/Dati!$D$237)/(IF(Dati!$D$237=3,(Dati!$M$227+Dati!$O$227+Dati!$Q$227),(Dati!$O$227+Dati!$Q$227)/Dati!$D$237)))),0)</f>
        <v>0</v>
      </c>
      <c r="M61" s="83">
        <f>IF((IF(Dati!$D$237=3,(Dati!L174+Dati!N174+Dati!Y174+Dati!U174+Dati!V174+Dati!W174),(Dati!N174+Dati!Y174+Dati!V174+Dati!W174)/Dati!$D$237))&gt;0,((IF(Dati!$D$237=3,(Dati!R174+Dati!S174+Dati!AC174),(Dati!S174+Dati!AC174)/Dati!$D$237)/(IF(Dati!$D$237=3,(Dati!L174+Dati!N174+Dati!Y174+Dati!U174+Dati!V174+Dati!W174),(Dati!N174+Dati!Y174+Dati!V174+Dati!W174)/Dati!$D$237)))),0)</f>
        <v>0.5809546945220454</v>
      </c>
    </row>
    <row r="62" spans="1:13" ht="24.75" customHeight="1">
      <c r="A62" s="181" t="s">
        <v>587</v>
      </c>
      <c r="B62" s="79" t="s">
        <v>572</v>
      </c>
      <c r="C62" s="60" t="s">
        <v>777</v>
      </c>
      <c r="D62" s="54">
        <f>IF(Dati!$D$227&gt;0,(Dati!D175/Dati!$D$227),0)</f>
        <v>0</v>
      </c>
      <c r="E62" s="54">
        <f>IF(Dati!$E$227&gt;0,(Dati!E175/Dati!$E$227),0)</f>
        <v>0</v>
      </c>
      <c r="F62" s="54">
        <f>IF((Dati!D175-Dati!E175+Dati!K175)&gt;0,((Dati!J175)/(Dati!D175-Dati!E175+Dati!K175)),0)</f>
        <v>0</v>
      </c>
      <c r="G62" s="54">
        <f>IF(Dati!$F$227&gt;0,(Dati!F175/Dati!$F$227),0)</f>
        <v>0</v>
      </c>
      <c r="H62" s="54">
        <f>IF(Dati!$G$227&gt;0,(Dati!G175/Dati!$G$227),0)</f>
        <v>0</v>
      </c>
      <c r="I62" s="54">
        <f>IF(Dati!$H$227&gt;0,(Dati!H175/Dati!$H$227),0)</f>
        <v>0</v>
      </c>
      <c r="J62" s="54">
        <f>IF(Dati!$I$227&gt;0,(Dati!I175/Dati!$I$227),0)</f>
        <v>0</v>
      </c>
      <c r="K62" s="54">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0.00012463384054558718</v>
      </c>
      <c r="L62" s="83">
        <f>IF((IF(Dati!$D$237=3,(Dati!$M$227+Dati!$O$227+Dati!$Q$227),(Dati!$O$227+Dati!$Q$227)/Dati!$D$237))&gt;0,((IF(Dati!$D$237=3,(Dati!M175+Dati!O175+Dati!Q175),(Dati!O175+Dati!Q175)/Dati!$D$237)/(IF(Dati!$D$237=3,(Dati!$M$227+Dati!$O$227+Dati!$Q$227),(Dati!$O$227+Dati!$Q$227)/Dati!$D$237)))),0)</f>
        <v>0</v>
      </c>
      <c r="M62" s="83">
        <f>IF((IF(Dati!$D$237=3,(Dati!L175+Dati!N175+Dati!Y175+Dati!U175+Dati!V175+Dati!W175),(Dati!N175+Dati!Y175+Dati!V175+Dati!W175)/Dati!$D$237))&gt;0,((IF(Dati!$D$237=3,(Dati!R175+Dati!S175+Dati!AC175),(Dati!S175+Dati!AC175)/Dati!$D$237)/(IF(Dati!$D$237=3,(Dati!L175+Dati!N175+Dati!Y175+Dati!U175+Dati!V175+Dati!W175),(Dati!N175+Dati!Y175+Dati!V175+Dati!W175)/Dati!$D$237)))),0)</f>
        <v>0.5</v>
      </c>
    </row>
    <row r="63" spans="1:13" ht="28.5" customHeight="1">
      <c r="A63" s="181" t="s">
        <v>587</v>
      </c>
      <c r="B63" s="169" t="s">
        <v>778</v>
      </c>
      <c r="C63" s="170"/>
      <c r="D63" s="54">
        <f>IF(Dati!$D$227&gt;0,(Dati!D176/Dati!$D$227),0)</f>
        <v>0</v>
      </c>
      <c r="E63" s="54">
        <f>IF(Dati!$E$227&gt;0,(Dati!E176/Dati!$E$227),0)</f>
        <v>0</v>
      </c>
      <c r="F63" s="54">
        <f>IF((Dati!D176-Dati!E176+Dati!K176)&gt;0,((Dati!J176)/(Dati!D176-Dati!E176+Dati!K176)),0)</f>
        <v>1</v>
      </c>
      <c r="G63" s="54">
        <f>IF(Dati!$F$227&gt;0,(Dati!F176/Dati!$F$227),0)</f>
        <v>0</v>
      </c>
      <c r="H63" s="54">
        <f>IF(Dati!$G$227&gt;0,(Dati!G176/Dati!$G$227),0)</f>
        <v>0</v>
      </c>
      <c r="I63" s="54">
        <f>IF(Dati!$H$227&gt;0,(Dati!H176/Dati!$H$227),0)</f>
        <v>0</v>
      </c>
      <c r="J63" s="54">
        <f>IF(Dati!$I$227&gt;0,(Dati!I176/Dati!$I$227),0)</f>
        <v>0</v>
      </c>
      <c r="K63" s="54">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0.00036308330427740454</v>
      </c>
      <c r="L63" s="83">
        <f>IF((IF(Dati!$D$237=3,(Dati!$M$227+Dati!$O$227+Dati!$Q$227),(Dati!$O$227+Dati!$Q$227)/Dati!$D$237))&gt;0,((IF(Dati!$D$237=3,(Dati!M176+Dati!O176+Dati!Q176),(Dati!O176+Dati!Q176)/Dati!$D$237)/(IF(Dati!$D$237=3,(Dati!$M$227+Dati!$O$227+Dati!$Q$227),(Dati!$O$227+Dati!$Q$227)/Dati!$D$237)))),0)</f>
        <v>0</v>
      </c>
      <c r="M63" s="83">
        <f>IF((IF(Dati!$D$237=3,(Dati!L176+Dati!N176+Dati!Y176+Dati!U176+Dati!V176+Dati!W176),(Dati!N176+Dati!Y176+Dati!V176+Dati!W176)/Dati!$D$237))&gt;0,((IF(Dati!$D$237=3,(Dati!R176+Dati!S176+Dati!AC176),(Dati!S176+Dati!AC176)/Dati!$D$237)/(IF(Dati!$D$237=3,(Dati!L176+Dati!N176+Dati!Y176+Dati!U176+Dati!V176+Dati!W176),(Dati!N176+Dati!Y176+Dati!V176+Dati!W176)/Dati!$D$237)))),0)</f>
        <v>0.550366507972493</v>
      </c>
    </row>
    <row r="64" spans="1:13" ht="30.75" customHeight="1">
      <c r="A64" s="180" t="s">
        <v>779</v>
      </c>
      <c r="B64" s="79" t="s">
        <v>578</v>
      </c>
      <c r="C64" s="60" t="s">
        <v>343</v>
      </c>
      <c r="D64" s="54">
        <f>IF(Dati!$D$227&gt;0,(Dati!D177/Dati!$D$227),0)</f>
        <v>0.028182614099686504</v>
      </c>
      <c r="E64" s="54">
        <f>IF(Dati!$E$227&gt;0,(Dati!E177/Dati!$E$227),0)</f>
        <v>0</v>
      </c>
      <c r="F64" s="54">
        <f>IF((Dati!D177-Dati!E177+Dati!K177)&gt;0,((Dati!J177)/(Dati!D177-Dati!E177+Dati!K177)),0)</f>
        <v>0.9999999999999998</v>
      </c>
      <c r="G64" s="54">
        <f>IF(Dati!$F$227&gt;0,(Dati!F177/Dati!$F$227),0)</f>
        <v>0.03695831461504192</v>
      </c>
      <c r="H64" s="54">
        <f>IF(Dati!$G$227&gt;0,(Dati!G177/Dati!$G$227),0)</f>
        <v>0</v>
      </c>
      <c r="I64" s="54">
        <f>IF(Dati!$H$227&gt;0,(Dati!H177/Dati!$H$227),0)</f>
        <v>0.03980680905120802</v>
      </c>
      <c r="J64" s="54">
        <f>IF(Dati!$I$227&gt;0,(Dati!I177/Dati!$I$227),0)</f>
        <v>0</v>
      </c>
      <c r="K64" s="54">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0.0387760393413757</v>
      </c>
      <c r="L64" s="83">
        <f>IF((IF(Dati!$D$237=3,(Dati!$M$227+Dati!$O$227+Dati!$Q$227),(Dati!$O$227+Dati!$Q$227)/Dati!$D$237))&gt;0,((IF(Dati!$D$237=3,(Dati!M177+Dati!O177+Dati!Q177),(Dati!O177+Dati!Q177)/Dati!$D$237)/(IF(Dati!$D$237=3,(Dati!$M$227+Dati!$O$227+Dati!$Q$227),(Dati!$O$227+Dati!$Q$227)/Dati!$D$237)))),0)</f>
        <v>6.552144989485626E-05</v>
      </c>
      <c r="M64" s="83">
        <f>IF((IF(Dati!$D$237=3,(Dati!L177+Dati!N177+Dati!Y177+Dati!U177+Dati!V177+Dati!W177),(Dati!N177+Dati!Y177+Dati!V177+Dati!W177)/Dati!$D$237))&gt;0,((IF(Dati!$D$237=3,(Dati!R177+Dati!S177+Dati!AC177),(Dati!S177+Dati!AC177)/Dati!$D$237)/(IF(Dati!$D$237=3,(Dati!L177+Dati!N177+Dati!Y177+Dati!U177+Dati!V177+Dati!W177),(Dati!N177+Dati!Y177+Dati!V177+Dati!W177)/Dati!$D$237)))),0)</f>
        <v>0.8868829109185683</v>
      </c>
    </row>
    <row r="65" spans="1:13" ht="24.75" customHeight="1">
      <c r="A65" s="181" t="s">
        <v>588</v>
      </c>
      <c r="B65" s="76" t="s">
        <v>561</v>
      </c>
      <c r="C65" s="77" t="s">
        <v>345</v>
      </c>
      <c r="D65" s="54">
        <f>IF(Dati!$D$227&gt;0,(Dati!D178/Dati!$D$227),0)</f>
        <v>0.004511965012093903</v>
      </c>
      <c r="E65" s="54">
        <f>IF(Dati!$E$227&gt;0,(Dati!E178/Dati!$E$227),0)</f>
        <v>0</v>
      </c>
      <c r="F65" s="54">
        <f>IF((Dati!D178-Dati!E178+Dati!K178)&gt;0,((Dati!J178)/(Dati!D178-Dati!E178+Dati!K178)),0)</f>
        <v>1</v>
      </c>
      <c r="G65" s="54">
        <f>IF(Dati!$F$227&gt;0,(Dati!F178/Dati!$F$227),0)</f>
        <v>0.005956790755631342</v>
      </c>
      <c r="H65" s="54">
        <f>IF(Dati!$G$227&gt;0,(Dati!G178/Dati!$G$227),0)</f>
        <v>0</v>
      </c>
      <c r="I65" s="54">
        <f>IF(Dati!$H$227&gt;0,(Dati!H178/Dati!$H$227),0)</f>
        <v>0.006415671844873675</v>
      </c>
      <c r="J65" s="54">
        <f>IF(Dati!$I$227&gt;0,(Dati!I178/Dati!$I$227),0)</f>
        <v>0</v>
      </c>
      <c r="K65" s="54">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0.016604604639215637</v>
      </c>
      <c r="L65" s="83">
        <f>IF((IF(Dati!$D$237=3,(Dati!$M$227+Dati!$O$227+Dati!$Q$227),(Dati!$O$227+Dati!$Q$227)/Dati!$D$237))&gt;0,((IF(Dati!$D$237=3,(Dati!M178+Dati!O178+Dati!Q178),(Dati!O178+Dati!Q178)/Dati!$D$237)/(IF(Dati!$D$237=3,(Dati!$M$227+Dati!$O$227+Dati!$Q$227),(Dati!$O$227+Dati!$Q$227)/Dati!$D$237)))),0)</f>
        <v>0.0004004271643279109</v>
      </c>
      <c r="M65" s="83">
        <f>IF((IF(Dati!$D$237=3,(Dati!L178+Dati!N178+Dati!Y178+Dati!U178+Dati!V178+Dati!W178),(Dati!N178+Dati!Y178+Dati!V178+Dati!W178)/Dati!$D$237))&gt;0,((IF(Dati!$D$237=3,(Dati!R178+Dati!S178+Dati!AC178),(Dati!S178+Dati!AC178)/Dati!$D$237)/(IF(Dati!$D$237=3,(Dati!L178+Dati!N178+Dati!Y178+Dati!U178+Dati!V178+Dati!W178),(Dati!N178+Dati!Y178+Dati!V178+Dati!W178)/Dati!$D$237)))),0)</f>
        <v>0.9154756977851112</v>
      </c>
    </row>
    <row r="66" spans="1:13" ht="21.75" customHeight="1">
      <c r="A66" s="181" t="s">
        <v>588</v>
      </c>
      <c r="B66" s="76" t="s">
        <v>583</v>
      </c>
      <c r="C66" s="77" t="s">
        <v>347</v>
      </c>
      <c r="D66" s="54">
        <f>IF(Dati!$D$227&gt;0,(Dati!D179/Dati!$D$227),0)</f>
        <v>0.006084273257140398</v>
      </c>
      <c r="E66" s="54">
        <f>IF(Dati!$E$227&gt;0,(Dati!E179/Dati!$E$227),0)</f>
        <v>0</v>
      </c>
      <c r="F66" s="54">
        <f>IF((Dati!D179-Dati!E179+Dati!K179)&gt;0,((Dati!J179)/(Dati!D179-Dati!E179+Dati!K179)),0)</f>
        <v>1</v>
      </c>
      <c r="G66" s="54">
        <f>IF(Dati!$F$227&gt;0,(Dati!F179/Dati!$F$227),0)</f>
        <v>0.007983285702580986</v>
      </c>
      <c r="H66" s="54">
        <f>IF(Dati!$G$227&gt;0,(Dati!G179/Dati!$G$227),0)</f>
        <v>0</v>
      </c>
      <c r="I66" s="54">
        <f>IF(Dati!$H$227&gt;0,(Dati!H179/Dati!$H$227),0)</f>
        <v>0.008598277732554485</v>
      </c>
      <c r="J66" s="54">
        <f>IF(Dati!$I$227&gt;0,(Dati!I179/Dati!$I$227),0)</f>
        <v>0</v>
      </c>
      <c r="K66" s="54">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0.009610273405551888</v>
      </c>
      <c r="L66" s="83">
        <f>IF((IF(Dati!$D$237=3,(Dati!$M$227+Dati!$O$227+Dati!$Q$227),(Dati!$O$227+Dati!$Q$227)/Dati!$D$237))&gt;0,((IF(Dati!$D$237=3,(Dati!M179+Dati!O179+Dati!Q179),(Dati!O179+Dati!Q179)/Dati!$D$237)/(IF(Dati!$D$237=3,(Dati!$M$227+Dati!$O$227+Dati!$Q$227),(Dati!$O$227+Dati!$Q$227)/Dati!$D$237)))),0)</f>
        <v>0.001885704176526876</v>
      </c>
      <c r="M66" s="83">
        <f>IF((IF(Dati!$D$237=3,(Dati!L179+Dati!N179+Dati!Y179+Dati!U179+Dati!V179+Dati!W179),(Dati!N179+Dati!Y179+Dati!V179+Dati!W179)/Dati!$D$237))&gt;0,((IF(Dati!$D$237=3,(Dati!R179+Dati!S179+Dati!AC179),(Dati!S179+Dati!AC179)/Dati!$D$237)/(IF(Dati!$D$237=3,(Dati!L179+Dati!N179+Dati!Y179+Dati!U179+Dati!V179+Dati!W179),(Dati!N179+Dati!Y179+Dati!V179+Dati!W179)/Dati!$D$237)))),0)</f>
        <v>0.8713429062040259</v>
      </c>
    </row>
    <row r="67" spans="1:13" ht="30" customHeight="1">
      <c r="A67" s="181" t="s">
        <v>588</v>
      </c>
      <c r="B67" s="79" t="s">
        <v>563</v>
      </c>
      <c r="C67" s="60" t="s">
        <v>780</v>
      </c>
      <c r="D67" s="54">
        <f>IF(Dati!$D$227&gt;0,(Dati!D180/Dati!$D$227),0)</f>
        <v>0.001534249365429465</v>
      </c>
      <c r="E67" s="54">
        <f>IF(Dati!$E$227&gt;0,(Dati!E180/Dati!$E$227),0)</f>
        <v>0</v>
      </c>
      <c r="F67" s="54">
        <f>IF((Dati!D180-Dati!E180+Dati!K180)&gt;0,((Dati!J180)/(Dati!D180-Dati!E180+Dati!K180)),0)</f>
        <v>1</v>
      </c>
      <c r="G67" s="54">
        <f>IF(Dati!$F$227&gt;0,(Dati!F180/Dati!$F$227),0)</f>
        <v>0.0020104110032125914</v>
      </c>
      <c r="H67" s="54">
        <f>IF(Dati!$G$227&gt;0,(Dati!G180/Dati!$G$227),0)</f>
        <v>0</v>
      </c>
      <c r="I67" s="54">
        <f>IF(Dati!$H$227&gt;0,(Dati!H180/Dati!$H$227),0)</f>
        <v>0.002165282918111873</v>
      </c>
      <c r="J67" s="54">
        <f>IF(Dati!$I$227&gt;0,(Dati!I180/Dati!$I$227),0)</f>
        <v>0</v>
      </c>
      <c r="K67" s="54">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0.001855890613301159</v>
      </c>
      <c r="L67" s="83">
        <f>IF((IF(Dati!$D$237=3,(Dati!$M$227+Dati!$O$227+Dati!$Q$227),(Dati!$O$227+Dati!$Q$227)/Dati!$D$237))&gt;0,((IF(Dati!$D$237=3,(Dati!M180+Dati!O180+Dati!Q180),(Dati!O180+Dati!Q180)/Dati!$D$237)/(IF(Dati!$D$237=3,(Dati!$M$227+Dati!$O$227+Dati!$Q$227),(Dati!$O$227+Dati!$Q$227)/Dati!$D$237)))),0)</f>
        <v>0</v>
      </c>
      <c r="M67" s="83">
        <f>IF((IF(Dati!$D$237=3,(Dati!L180+Dati!N180+Dati!Y180+Dati!U180+Dati!V180+Dati!W180),(Dati!N180+Dati!Y180+Dati!V180+Dati!W180)/Dati!$D$237))&gt;0,((IF(Dati!$D$237=3,(Dati!R180+Dati!S180+Dati!AC180),(Dati!S180+Dati!AC180)/Dati!$D$237)/(IF(Dati!$D$237=3,(Dati!L180+Dati!N180+Dati!Y180+Dati!U180+Dati!V180+Dati!W180),(Dati!N180+Dati!Y180+Dati!V180+Dati!W180)/Dati!$D$237)))),0)</f>
        <v>0.8894626934141238</v>
      </c>
    </row>
    <row r="68" spans="1:13" ht="22.5" customHeight="1">
      <c r="A68" s="181" t="s">
        <v>588</v>
      </c>
      <c r="B68" s="76" t="s">
        <v>575</v>
      </c>
      <c r="C68" s="77" t="s">
        <v>351</v>
      </c>
      <c r="D68" s="54">
        <f>IF(Dati!$D$227&gt;0,(Dati!D181/Dati!$D$227),0)</f>
        <v>0.0006496821417128028</v>
      </c>
      <c r="E68" s="54">
        <f>IF(Dati!$E$227&gt;0,(Dati!E181/Dati!$E$227),0)</f>
        <v>0</v>
      </c>
      <c r="F68" s="54">
        <f>IF((Dati!D181-Dati!E181+Dati!K181)&gt;0,((Dati!J181)/(Dati!D181-Dati!E181+Dati!K181)),0)</f>
        <v>1</v>
      </c>
      <c r="G68" s="54">
        <f>IF(Dati!$F$227&gt;0,(Dati!F181/Dati!$F$227),0)</f>
        <v>0.0008524247567437603</v>
      </c>
      <c r="H68" s="54">
        <f>IF(Dati!$G$227&gt;0,(Dati!G181/Dati!$G$227),0)</f>
        <v>0</v>
      </c>
      <c r="I68" s="54">
        <f>IF(Dati!$H$227&gt;0,(Dati!H181/Dati!$H$227),0)</f>
        <v>0.000918091256864134</v>
      </c>
      <c r="J68" s="54">
        <f>IF(Dati!$I$227&gt;0,(Dati!I181/Dati!$I$227),0)</f>
        <v>0</v>
      </c>
      <c r="K68" s="54">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0.001310898734858486</v>
      </c>
      <c r="L68" s="83">
        <f>IF((IF(Dati!$D$237=3,(Dati!$M$227+Dati!$O$227+Dati!$Q$227),(Dati!$O$227+Dati!$Q$227)/Dati!$D$237))&gt;0,((IF(Dati!$D$237=3,(Dati!M181+Dati!O181+Dati!Q181),(Dati!O181+Dati!Q181)/Dati!$D$237)/(IF(Dati!$D$237=3,(Dati!$M$227+Dati!$O$227+Dati!$Q$227),(Dati!$O$227+Dati!$Q$227)/Dati!$D$237)))),0)</f>
        <v>0</v>
      </c>
      <c r="M68" s="83">
        <f>IF((IF(Dati!$D$237=3,(Dati!L181+Dati!N181+Dati!Y181+Dati!U181+Dati!V181+Dati!W181),(Dati!N181+Dati!Y181+Dati!V181+Dati!W181)/Dati!$D$237))&gt;0,((IF(Dati!$D$237=3,(Dati!R181+Dati!S181+Dati!AC181),(Dati!S181+Dati!AC181)/Dati!$D$237)/(IF(Dati!$D$237=3,(Dati!L181+Dati!N181+Dati!Y181+Dati!U181+Dati!V181+Dati!W181),(Dati!N181+Dati!Y181+Dati!V181+Dati!W181)/Dati!$D$237)))),0)</f>
        <v>0.7442120227457352</v>
      </c>
    </row>
    <row r="69" spans="1:13" ht="29.25" customHeight="1">
      <c r="A69" s="181" t="s">
        <v>588</v>
      </c>
      <c r="B69" s="79" t="s">
        <v>584</v>
      </c>
      <c r="C69" s="60" t="s">
        <v>353</v>
      </c>
      <c r="D69" s="54">
        <f>IF(Dati!$D$227&gt;0,(Dati!D182/Dati!$D$227),0)</f>
        <v>0</v>
      </c>
      <c r="E69" s="54">
        <f>IF(Dati!$E$227&gt;0,(Dati!E182/Dati!$E$227),0)</f>
        <v>0</v>
      </c>
      <c r="F69" s="54">
        <f>IF((Dati!D182-Dati!E182+Dati!K182)&gt;0,((Dati!J182)/(Dati!D182-Dati!E182+Dati!K182)),0)</f>
        <v>0</v>
      </c>
      <c r="G69" s="54">
        <f>IF(Dati!$F$227&gt;0,(Dati!F182/Dati!$F$227),0)</f>
        <v>0</v>
      </c>
      <c r="H69" s="54">
        <f>IF(Dati!$G$227&gt;0,(Dati!G182/Dati!$G$227),0)</f>
        <v>0</v>
      </c>
      <c r="I69" s="54">
        <f>IF(Dati!$H$227&gt;0,(Dati!H182/Dati!$H$227),0)</f>
        <v>0</v>
      </c>
      <c r="J69" s="54">
        <f>IF(Dati!$I$227&gt;0,(Dati!I182/Dati!$I$227),0)</f>
        <v>0</v>
      </c>
      <c r="K69" s="54">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0.00019036572804932985</v>
      </c>
      <c r="L69" s="83">
        <f>IF((IF(Dati!$D$237=3,(Dati!$M$227+Dati!$O$227+Dati!$Q$227),(Dati!$O$227+Dati!$Q$227)/Dati!$D$237))&gt;0,((IF(Dati!$D$237=3,(Dati!M182+Dati!O182+Dati!Q182),(Dati!O182+Dati!Q182)/Dati!$D$237)/(IF(Dati!$D$237=3,(Dati!$M$227+Dati!$O$227+Dati!$Q$227),(Dati!$O$227+Dati!$Q$227)/Dati!$D$237)))),0)</f>
        <v>0</v>
      </c>
      <c r="M69" s="83">
        <f>IF((IF(Dati!$D$237=3,(Dati!L182+Dati!N182+Dati!Y182+Dati!U182+Dati!V182+Dati!W182),(Dati!N182+Dati!Y182+Dati!V182+Dati!W182)/Dati!$D$237))&gt;0,((IF(Dati!$D$237=3,(Dati!R182+Dati!S182+Dati!AC182),(Dati!S182+Dati!AC182)/Dati!$D$237)/(IF(Dati!$D$237=3,(Dati!L182+Dati!N182+Dati!Y182+Dati!U182+Dati!V182+Dati!W182),(Dati!N182+Dati!Y182+Dati!V182+Dati!W182)/Dati!$D$237)))),0)</f>
        <v>1</v>
      </c>
    </row>
    <row r="70" spans="1:13" ht="44.25" customHeight="1">
      <c r="A70" s="181" t="s">
        <v>588</v>
      </c>
      <c r="B70" s="79" t="s">
        <v>566</v>
      </c>
      <c r="C70" s="60" t="s">
        <v>738</v>
      </c>
      <c r="D70" s="54">
        <f>IF(Dati!$D$227&gt;0,(Dati!D183/Dati!$D$227),0)</f>
        <v>0.0824506193695722</v>
      </c>
      <c r="E70" s="54">
        <f>IF(Dati!$E$227&gt;0,(Dati!E183/Dati!$E$227),0)</f>
        <v>0</v>
      </c>
      <c r="F70" s="54">
        <f>IF((Dati!D183-Dati!E183+Dati!K183)&gt;0,((Dati!J183)/(Dati!D183-Dati!E183+Dati!K183)),0)</f>
        <v>1.0000000000000002</v>
      </c>
      <c r="G70" s="54">
        <f>IF(Dati!$F$227&gt;0,(Dati!F183/Dati!$F$227),0)</f>
        <v>0.1083263597174338</v>
      </c>
      <c r="H70" s="54">
        <f>IF(Dati!$G$227&gt;0,(Dati!G183/Dati!$G$227),0)</f>
        <v>0</v>
      </c>
      <c r="I70" s="54">
        <f>IF(Dati!$H$227&gt;0,(Dati!H183/Dati!$H$227),0)</f>
        <v>0.046048871251856784</v>
      </c>
      <c r="J70" s="54">
        <f>IF(Dati!$I$227&gt;0,(Dati!I183/Dati!$I$227),0)</f>
        <v>0</v>
      </c>
      <c r="K70" s="54">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0.03969773077117539</v>
      </c>
      <c r="L70" s="83">
        <f>IF((IF(Dati!$D$237=3,(Dati!$M$227+Dati!$O$227+Dati!$Q$227),(Dati!$O$227+Dati!$Q$227)/Dati!$D$237))&gt;0,((IF(Dati!$D$237=3,(Dati!M183+Dati!O183+Dati!Q183),(Dati!O183+Dati!Q183)/Dati!$D$237)/(IF(Dati!$D$237=3,(Dati!$M$227+Dati!$O$227+Dati!$Q$227),(Dati!$O$227+Dati!$Q$227)/Dati!$D$237)))),0)</f>
        <v>0.00046763893584226716</v>
      </c>
      <c r="M70" s="83">
        <f>IF((IF(Dati!$D$237=3,(Dati!L183+Dati!N183+Dati!Y183+Dati!U183+Dati!V183+Dati!W183),(Dati!N183+Dati!Y183+Dati!V183+Dati!W183)/Dati!$D$237))&gt;0,((IF(Dati!$D$237=3,(Dati!R183+Dati!S183+Dati!AC183),(Dati!S183+Dati!AC183)/Dati!$D$237)/(IF(Dati!$D$237=3,(Dati!L183+Dati!N183+Dati!Y183+Dati!U183+Dati!V183+Dati!W183),(Dati!N183+Dati!Y183+Dati!V183+Dati!W183)/Dati!$D$237)))),0)</f>
        <v>0.9989883785621814</v>
      </c>
    </row>
    <row r="71" spans="1:13" ht="30.75" customHeight="1">
      <c r="A71" s="181" t="s">
        <v>588</v>
      </c>
      <c r="B71" s="79" t="s">
        <v>585</v>
      </c>
      <c r="C71" s="60" t="s">
        <v>357</v>
      </c>
      <c r="D71" s="54">
        <f>IF(Dati!$D$227&gt;0,(Dati!D184/Dati!$D$227),0)</f>
        <v>0.001785622380679008</v>
      </c>
      <c r="E71" s="54">
        <f>IF(Dati!$E$227&gt;0,(Dati!E184/Dati!$E$227),0)</f>
        <v>0</v>
      </c>
      <c r="F71" s="54">
        <f>IF((Dati!D184-Dati!E184+Dati!K184)&gt;0,((Dati!J184)/(Dati!D184-Dati!E184+Dati!K184)),0)</f>
        <v>1</v>
      </c>
      <c r="G71" s="54">
        <f>IF(Dati!$F$227&gt;0,(Dati!F184/Dati!$F$227),0)</f>
        <v>0.002224664687263379</v>
      </c>
      <c r="H71" s="54">
        <f>IF(Dati!$G$227&gt;0,(Dati!G184/Dati!$G$227),0)</f>
        <v>0</v>
      </c>
      <c r="I71" s="54">
        <f>IF(Dati!$H$227&gt;0,(Dati!H184/Dati!$H$227),0)</f>
        <v>0.002397630628502873</v>
      </c>
      <c r="J71" s="54">
        <f>IF(Dati!$I$227&gt;0,(Dati!I184/Dati!$I$227),0)</f>
        <v>0</v>
      </c>
      <c r="K71" s="54">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0.0022210627807461073</v>
      </c>
      <c r="L71" s="83">
        <f>IF((IF(Dati!$D$237=3,(Dati!$M$227+Dati!$O$227+Dati!$Q$227),(Dati!$O$227+Dati!$Q$227)/Dati!$D$237))&gt;0,((IF(Dati!$D$237=3,(Dati!M184+Dati!O184+Dati!Q184),(Dati!O184+Dati!Q184)/Dati!$D$237)/(IF(Dati!$D$237=3,(Dati!$M$227+Dati!$O$227+Dati!$Q$227),(Dati!$O$227+Dati!$Q$227)/Dati!$D$237)))),0)</f>
        <v>0</v>
      </c>
      <c r="M71" s="83">
        <f>IF((IF(Dati!$D$237=3,(Dati!L184+Dati!N184+Dati!Y184+Dati!U184+Dati!V184+Dati!W184),(Dati!N184+Dati!Y184+Dati!V184+Dati!W184)/Dati!$D$237))&gt;0,((IF(Dati!$D$237=3,(Dati!R184+Dati!S184+Dati!AC184),(Dati!S184+Dati!AC184)/Dati!$D$237)/(IF(Dati!$D$237=3,(Dati!L184+Dati!N184+Dati!Y184+Dati!U184+Dati!V184+Dati!W184),(Dati!N184+Dati!Y184+Dati!V184+Dati!W184)/Dati!$D$237)))),0)</f>
        <v>0.7603724843516793</v>
      </c>
    </row>
    <row r="72" spans="1:13" ht="30.75" customHeight="1">
      <c r="A72" s="181" t="s">
        <v>588</v>
      </c>
      <c r="B72" s="79" t="s">
        <v>568</v>
      </c>
      <c r="C72" s="60" t="s">
        <v>359</v>
      </c>
      <c r="D72" s="54">
        <f>IF(Dati!$D$227&gt;0,(Dati!D185/Dati!$D$227),0)</f>
        <v>0.019383903886255844</v>
      </c>
      <c r="E72" s="54">
        <f>IF(Dati!$E$227&gt;0,(Dati!E185/Dati!$E$227),0)</f>
        <v>0</v>
      </c>
      <c r="F72" s="54">
        <f>IF((Dati!D185-Dati!E185+Dati!K185)&gt;0,((Dati!J185)/(Dati!D185-Dati!E185+Dati!K185)),0)</f>
        <v>0.9999999999999999</v>
      </c>
      <c r="G72" s="54">
        <f>IF(Dati!$F$227&gt;0,(Dati!F185/Dati!$F$227),0)</f>
        <v>0.007720826087113636</v>
      </c>
      <c r="H72" s="54">
        <f>IF(Dati!$G$227&gt;0,(Dati!G185/Dati!$G$227),0)</f>
        <v>0</v>
      </c>
      <c r="I72" s="54">
        <f>IF(Dati!$H$227&gt;0,(Dati!H185/Dati!$H$227),0)</f>
        <v>0.008340317394769108</v>
      </c>
      <c r="J72" s="54">
        <f>IF(Dati!$I$227&gt;0,(Dati!I185/Dati!$I$227),0)</f>
        <v>0</v>
      </c>
      <c r="K72" s="54">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0.01117961885459005</v>
      </c>
      <c r="L72" s="83">
        <f>IF((IF(Dati!$D$237=3,(Dati!$M$227+Dati!$O$227+Dati!$Q$227),(Dati!$O$227+Dati!$Q$227)/Dati!$D$237))&gt;0,((IF(Dati!$D$237=3,(Dati!M185+Dati!O185+Dati!Q185),(Dati!O185+Dati!Q185)/Dati!$D$237)/(IF(Dati!$D$237=3,(Dati!$M$227+Dati!$O$227+Dati!$Q$227),(Dati!$O$227+Dati!$Q$227)/Dati!$D$237)))),0)</f>
        <v>0.007193378523174597</v>
      </c>
      <c r="M72" s="83">
        <f>IF((IF(Dati!$D$237=3,(Dati!L185+Dati!N185+Dati!Y185+Dati!U185+Dati!V185+Dati!W185),(Dati!N185+Dati!Y185+Dati!V185+Dati!W185)/Dati!$D$237))&gt;0,((IF(Dati!$D$237=3,(Dati!R185+Dati!S185+Dati!AC185),(Dati!S185+Dati!AC185)/Dati!$D$237)/(IF(Dati!$D$237=3,(Dati!L185+Dati!N185+Dati!Y185+Dati!U185+Dati!V185+Dati!W185),(Dati!N185+Dati!Y185+Dati!V185+Dati!W185)/Dati!$D$237)))),0)</f>
        <v>0.9232125455025786</v>
      </c>
    </row>
    <row r="73" spans="1:13" ht="43.5" customHeight="1">
      <c r="A73" s="181" t="s">
        <v>588</v>
      </c>
      <c r="B73" s="169" t="s">
        <v>781</v>
      </c>
      <c r="C73" s="170"/>
      <c r="D73" s="54">
        <f>IF(Dati!$D$227&gt;0,(Dati!D186/Dati!$D$227),0)</f>
        <v>0.14458292951257012</v>
      </c>
      <c r="E73" s="54">
        <f>IF(Dati!$E$227&gt;0,(Dati!E186/Dati!$E$227),0)</f>
        <v>0</v>
      </c>
      <c r="F73" s="54">
        <f>IF((Dati!D186-Dati!E186+Dati!K186)&gt;0,((Dati!J186)/(Dati!D186-Dati!E186+Dati!K186)),0)</f>
        <v>1</v>
      </c>
      <c r="G73" s="54">
        <f>IF(Dati!$F$227&gt;0,(Dati!F186/Dati!$F$227),0)</f>
        <v>0.17203307732502143</v>
      </c>
      <c r="H73" s="54">
        <f>IF(Dati!$G$227&gt;0,(Dati!G186/Dati!$G$227),0)</f>
        <v>0</v>
      </c>
      <c r="I73" s="54">
        <f>IF(Dati!$H$227&gt;0,(Dati!H186/Dati!$H$227),0)</f>
        <v>0.11469095207874097</v>
      </c>
      <c r="J73" s="54">
        <f>IF(Dati!$I$227&gt;0,(Dati!I186/Dati!$I$227),0)</f>
        <v>0</v>
      </c>
      <c r="K73" s="54">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0.12144648486886374</v>
      </c>
      <c r="L73" s="83">
        <f>IF((IF(Dati!$D$237=3,(Dati!$M$227+Dati!$O$227+Dati!$Q$227),(Dati!$O$227+Dati!$Q$227)/Dati!$D$237))&gt;0,((IF(Dati!$D$237=3,(Dati!M186+Dati!O186+Dati!Q186),(Dati!O186+Dati!Q186)/Dati!$D$237)/(IF(Dati!$D$237=3,(Dati!$M$227+Dati!$O$227+Dati!$Q$227),(Dati!$O$227+Dati!$Q$227)/Dati!$D$237)))),0)</f>
        <v>0.010012670249766506</v>
      </c>
      <c r="M73" s="83">
        <f>IF((IF(Dati!$D$237=3,(Dati!L186+Dati!N186+Dati!Y186+Dati!U186+Dati!V186+Dati!W186),(Dati!N186+Dati!Y186+Dati!V186+Dati!W186)/Dati!$D$237))&gt;0,((IF(Dati!$D$237=3,(Dati!R186+Dati!S186+Dati!AC186),(Dati!S186+Dati!AC186)/Dati!$D$237)/(IF(Dati!$D$237=3,(Dati!L186+Dati!N186+Dati!Y186+Dati!U186+Dati!V186+Dati!W186),(Dati!N186+Dati!Y186+Dati!V186+Dati!W186)/Dati!$D$237)))),0)</f>
        <v>0.9206954492793079</v>
      </c>
    </row>
    <row r="74" spans="1:13" ht="57.75" customHeight="1">
      <c r="A74" s="171" t="s">
        <v>782</v>
      </c>
      <c r="B74" s="79" t="s">
        <v>578</v>
      </c>
      <c r="C74" s="60" t="s">
        <v>363</v>
      </c>
      <c r="D74" s="54">
        <f>IF(Dati!$D$227&gt;0,(Dati!D187/Dati!$D$227),0)</f>
        <v>0</v>
      </c>
      <c r="E74" s="54">
        <f>IF(Dati!$E$227&gt;0,(Dati!E187/Dati!$E$227),0)</f>
        <v>0</v>
      </c>
      <c r="F74" s="54">
        <f>IF((Dati!D187-Dati!E187+Dati!K187)&gt;0,((Dati!J187)/(Dati!D187-Dati!E187+Dati!K187)),0)</f>
        <v>0</v>
      </c>
      <c r="G74" s="54">
        <f>IF(Dati!$F$227&gt;0,(Dati!F187/Dati!$F$227),0)</f>
        <v>0</v>
      </c>
      <c r="H74" s="54">
        <f>IF(Dati!$G$227&gt;0,(Dati!G187/Dati!$G$227),0)</f>
        <v>0</v>
      </c>
      <c r="I74" s="54">
        <f>IF(Dati!$H$227&gt;0,(Dati!H187/Dati!$H$227),0)</f>
        <v>0</v>
      </c>
      <c r="J74" s="54">
        <f>IF(Dati!$I$227&gt;0,(Dati!I187/Dati!$I$227),0)</f>
        <v>0</v>
      </c>
      <c r="K74" s="54">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3">
        <f>IF((IF(Dati!$D$237=3,(Dati!$M$227+Dati!$O$227+Dati!$Q$227),(Dati!$O$227+Dati!$Q$227)/Dati!$D$237))&gt;0,((IF(Dati!$D$237=3,(Dati!M187+Dati!O187+Dati!Q187),(Dati!O187+Dati!Q187)/Dati!$D$237)/(IF(Dati!$D$237=3,(Dati!$M$227+Dati!$O$227+Dati!$Q$227),(Dati!$O$227+Dati!$Q$227)/Dati!$D$237)))),0)</f>
        <v>0</v>
      </c>
      <c r="M74" s="8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4" t="s">
        <v>589</v>
      </c>
      <c r="B75" s="79" t="s">
        <v>572</v>
      </c>
      <c r="C75" s="60" t="s">
        <v>783</v>
      </c>
      <c r="D75" s="54">
        <f>IF(Dati!$D$227&gt;0,(Dati!D188/Dati!$D$227),0)</f>
        <v>0</v>
      </c>
      <c r="E75" s="54">
        <f>IF(Dati!$E$227&gt;0,(Dati!E188/Dati!$E$227),0)</f>
        <v>0</v>
      </c>
      <c r="F75" s="54">
        <f>IF((Dati!D188-Dati!E188+Dati!K188)&gt;0,((Dati!J188)/(Dati!D188-Dati!E188+Dati!K188)),0)</f>
        <v>0</v>
      </c>
      <c r="G75" s="54">
        <f>IF(Dati!$F$227&gt;0,(Dati!F188/Dati!$F$227),0)</f>
        <v>0</v>
      </c>
      <c r="H75" s="54">
        <f>IF(Dati!$G$227&gt;0,(Dati!G188/Dati!$G$227),0)</f>
        <v>0</v>
      </c>
      <c r="I75" s="54">
        <f>IF(Dati!$H$227&gt;0,(Dati!H188/Dati!$H$227),0)</f>
        <v>0</v>
      </c>
      <c r="J75" s="54">
        <f>IF(Dati!$I$227&gt;0,(Dati!I188/Dati!$I$227),0)</f>
        <v>0</v>
      </c>
      <c r="K75" s="54">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3">
        <f>IF((IF(Dati!$D$237=3,(Dati!$M$227+Dati!$O$227+Dati!$Q$227),(Dati!$O$227+Dati!$Q$227)/Dati!$D$237))&gt;0,((IF(Dati!$D$237=3,(Dati!M188+Dati!O188+Dati!Q188),(Dati!O188+Dati!Q188)/Dati!$D$237)/(IF(Dati!$D$237=3,(Dati!$M$227+Dati!$O$227+Dati!$Q$227),(Dati!$O$227+Dati!$Q$227)/Dati!$D$237)))),0)</f>
        <v>0</v>
      </c>
      <c r="M75" s="8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4" t="s">
        <v>589</v>
      </c>
      <c r="B76" s="79" t="s">
        <v>562</v>
      </c>
      <c r="C76" s="60" t="s">
        <v>784</v>
      </c>
      <c r="D76" s="54">
        <f>IF(Dati!$D$227&gt;0,(Dati!D189/Dati!$D$227),0)</f>
        <v>0</v>
      </c>
      <c r="E76" s="54">
        <f>IF(Dati!$E$227&gt;0,(Dati!E189/Dati!$E$227),0)</f>
        <v>0</v>
      </c>
      <c r="F76" s="54">
        <f>IF((Dati!D189-Dati!E189+Dati!K189)&gt;0,((Dati!J189)/(Dati!D189-Dati!E189+Dati!K189)),0)</f>
        <v>0</v>
      </c>
      <c r="G76" s="54">
        <f>IF(Dati!$F$227&gt;0,(Dati!F189/Dati!$F$227),0)</f>
        <v>0</v>
      </c>
      <c r="H76" s="54">
        <f>IF(Dati!$G$227&gt;0,(Dati!G189/Dati!$G$227),0)</f>
        <v>0</v>
      </c>
      <c r="I76" s="54">
        <f>IF(Dati!$H$227&gt;0,(Dati!H189/Dati!$H$227),0)</f>
        <v>0</v>
      </c>
      <c r="J76" s="54">
        <f>IF(Dati!$I$227&gt;0,(Dati!I189/Dati!$I$227),0)</f>
        <v>0</v>
      </c>
      <c r="K76" s="54">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3">
        <f>IF((IF(Dati!$D$237=3,(Dati!$M$227+Dati!$O$227+Dati!$Q$227),(Dati!$O$227+Dati!$Q$227)/Dati!$D$237))&gt;0,((IF(Dati!$D$237=3,(Dati!M189+Dati!O189+Dati!Q189),(Dati!O189+Dati!Q189)/Dati!$D$237)/(IF(Dati!$D$237=3,(Dati!$M$227+Dati!$O$227+Dati!$Q$227),(Dati!$O$227+Dati!$Q$227)/Dati!$D$237)))),0)</f>
        <v>0</v>
      </c>
      <c r="M76" s="8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4" t="s">
        <v>589</v>
      </c>
      <c r="B77" s="79" t="s">
        <v>563</v>
      </c>
      <c r="C77" s="60" t="s">
        <v>785</v>
      </c>
      <c r="D77" s="54">
        <f>IF(Dati!$D$227&gt;0,(Dati!D190/Dati!$D$227),0)</f>
        <v>0</v>
      </c>
      <c r="E77" s="54">
        <f>IF(Dati!$E$227&gt;0,(Dati!E190/Dati!$E$227),0)</f>
        <v>0</v>
      </c>
      <c r="F77" s="54">
        <f>IF((Dati!D190-Dati!E190+Dati!K190)&gt;0,((Dati!J190)/(Dati!D190-Dati!E190+Dati!K190)),0)</f>
        <v>0</v>
      </c>
      <c r="G77" s="54">
        <f>IF(Dati!$F$227&gt;0,(Dati!F190/Dati!$F$227),0)</f>
        <v>0</v>
      </c>
      <c r="H77" s="54">
        <f>IF(Dati!$G$227&gt;0,(Dati!G190/Dati!$G$227),0)</f>
        <v>0</v>
      </c>
      <c r="I77" s="54">
        <f>IF(Dati!$H$227&gt;0,(Dati!H190/Dati!$H$227),0)</f>
        <v>0</v>
      </c>
      <c r="J77" s="54">
        <f>IF(Dati!$I$227&gt;0,(Dati!I190/Dati!$I$227),0)</f>
        <v>0</v>
      </c>
      <c r="K77" s="54">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3">
        <f>IF((IF(Dati!$D$237=3,(Dati!$M$227+Dati!$O$227+Dati!$Q$227),(Dati!$O$227+Dati!$Q$227)/Dati!$D$237))&gt;0,((IF(Dati!$D$237=3,(Dati!M190+Dati!O190+Dati!Q190),(Dati!O190+Dati!Q190)/Dati!$D$237)/(IF(Dati!$D$237=3,(Dati!$M$227+Dati!$O$227+Dati!$Q$227),(Dati!$O$227+Dati!$Q$227)/Dati!$D$237)))),0)</f>
        <v>0</v>
      </c>
      <c r="M77" s="8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4" t="s">
        <v>589</v>
      </c>
      <c r="B78" s="79" t="s">
        <v>564</v>
      </c>
      <c r="C78" s="60" t="s">
        <v>786</v>
      </c>
      <c r="D78" s="54">
        <f>IF(Dati!$D$227&gt;0,(Dati!D191/Dati!$D$227),0)</f>
        <v>0</v>
      </c>
      <c r="E78" s="54">
        <f>IF(Dati!$E$227&gt;0,(Dati!E191/Dati!$E$227),0)</f>
        <v>0</v>
      </c>
      <c r="F78" s="54">
        <f>IF((Dati!D191-Dati!E191+Dati!K191)&gt;0,((Dati!J191)/(Dati!D191-Dati!E191+Dati!K191)),0)</f>
        <v>0</v>
      </c>
      <c r="G78" s="54">
        <f>IF(Dati!$F$227&gt;0,(Dati!F191/Dati!$F$227),0)</f>
        <v>0</v>
      </c>
      <c r="H78" s="54">
        <f>IF(Dati!$G$227&gt;0,(Dati!G191/Dati!$G$227),0)</f>
        <v>0</v>
      </c>
      <c r="I78" s="54">
        <f>IF(Dati!$H$227&gt;0,(Dati!H191/Dati!$H$227),0)</f>
        <v>0</v>
      </c>
      <c r="J78" s="54">
        <f>IF(Dati!$I$227&gt;0,(Dati!I191/Dati!$I$227),0)</f>
        <v>0</v>
      </c>
      <c r="K78" s="54">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3">
        <f>IF((IF(Dati!$D$237=3,(Dati!$M$227+Dati!$O$227+Dati!$Q$227),(Dati!$O$227+Dati!$Q$227)/Dati!$D$237))&gt;0,((IF(Dati!$D$237=3,(Dati!M191+Dati!O191+Dati!Q191),(Dati!O191+Dati!Q191)/Dati!$D$237)/(IF(Dati!$D$237=3,(Dati!$M$227+Dati!$O$227+Dati!$Q$227),(Dati!$O$227+Dati!$Q$227)/Dati!$D$237)))),0)</f>
        <v>0</v>
      </c>
      <c r="M78" s="8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4" t="s">
        <v>589</v>
      </c>
      <c r="B79" s="79" t="s">
        <v>584</v>
      </c>
      <c r="C79" s="60" t="s">
        <v>373</v>
      </c>
      <c r="D79" s="54">
        <f>IF(Dati!$D$227&gt;0,(Dati!D192/Dati!$D$227),0)</f>
        <v>0</v>
      </c>
      <c r="E79" s="54">
        <f>IF(Dati!$E$227&gt;0,(Dati!E192/Dati!$E$227),0)</f>
        <v>0</v>
      </c>
      <c r="F79" s="54">
        <f>IF((Dati!D192-Dati!E192+Dati!K192)&gt;0,((Dati!J192)/(Dati!D192-Dati!E192+Dati!K192)),0)</f>
        <v>0</v>
      </c>
      <c r="G79" s="54">
        <f>IF(Dati!$F$227&gt;0,(Dati!F192/Dati!$F$227),0)</f>
        <v>0</v>
      </c>
      <c r="H79" s="54">
        <f>IF(Dati!$G$227&gt;0,(Dati!G192/Dati!$G$227),0)</f>
        <v>0</v>
      </c>
      <c r="I79" s="54">
        <f>IF(Dati!$H$227&gt;0,(Dati!H192/Dati!$H$227),0)</f>
        <v>0</v>
      </c>
      <c r="J79" s="54">
        <f>IF(Dati!$I$227&gt;0,(Dati!I192/Dati!$I$227),0)</f>
        <v>0</v>
      </c>
      <c r="K79" s="54">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3">
        <f>IF((IF(Dati!$D$237=3,(Dati!$M$227+Dati!$O$227+Dati!$Q$227),(Dati!$O$227+Dati!$Q$227)/Dati!$D$237))&gt;0,((IF(Dati!$D$237=3,(Dati!M192+Dati!O192+Dati!Q192),(Dati!O192+Dati!Q192)/Dati!$D$237)/(IF(Dati!$D$237=3,(Dati!$M$227+Dati!$O$227+Dati!$Q$227),(Dati!$O$227+Dati!$Q$227)/Dati!$D$237)))),0)</f>
        <v>0</v>
      </c>
      <c r="M79" s="8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72"/>
      <c r="B80" s="79" t="s">
        <v>566</v>
      </c>
      <c r="C80" s="60" t="s">
        <v>787</v>
      </c>
      <c r="D80" s="54">
        <f>IF(Dati!$D$227&gt;0,(Dati!D193/Dati!$D$227),0)</f>
        <v>0</v>
      </c>
      <c r="E80" s="54">
        <f>IF(Dati!$E$227&gt;0,(Dati!E193/Dati!$E$227),0)</f>
        <v>0</v>
      </c>
      <c r="F80" s="54">
        <f>IF((Dati!D193-Dati!E193+Dati!K193)&gt;0,((Dati!J193)/(Dati!D193-Dati!E193+Dati!K193)),0)</f>
        <v>0</v>
      </c>
      <c r="G80" s="54">
        <f>IF(Dati!$F$227&gt;0,(Dati!F193/Dati!$F$227),0)</f>
        <v>0</v>
      </c>
      <c r="H80" s="54">
        <f>IF(Dati!$G$227&gt;0,(Dati!G193/Dati!$G$227),0)</f>
        <v>0</v>
      </c>
      <c r="I80" s="54">
        <f>IF(Dati!$H$227&gt;0,(Dati!H193/Dati!$H$227),0)</f>
        <v>0</v>
      </c>
      <c r="J80" s="54">
        <f>IF(Dati!$I$227&gt;0,(Dati!I193/Dati!$I$227),0)</f>
        <v>0</v>
      </c>
      <c r="K80" s="54">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0.0001218171157492569</v>
      </c>
      <c r="L80" s="83">
        <f>IF((IF(Dati!$D$237=3,(Dati!$M$227+Dati!$O$227+Dati!$Q$227),(Dati!$O$227+Dati!$Q$227)/Dati!$D$237))&gt;0,((IF(Dati!$D$237=3,(Dati!M193+Dati!O193+Dati!Q193),(Dati!O193+Dati!Q193)/Dati!$D$237)/(IF(Dati!$D$237=3,(Dati!$M$227+Dati!$O$227+Dati!$Q$227),(Dati!$O$227+Dati!$Q$227)/Dati!$D$237)))),0)</f>
        <v>0</v>
      </c>
      <c r="M80" s="83">
        <f>IF((IF(Dati!$D$237=3,(Dati!L193+Dati!N193+Dati!Y193+Dati!U193+Dati!V193+Dati!W193),(Dati!N193+Dati!Y193+Dati!V193+Dati!W193)/Dati!$D$237))&gt;0,((IF(Dati!$D$237=3,(Dati!R193+Dati!S193+Dati!AC193),(Dati!S193+Dati!AC193)/Dati!$D$237)/(IF(Dati!$D$237=3,(Dati!L193+Dati!N193+Dati!Y193+Dati!U193+Dati!V193+Dati!W193),(Dati!N193+Dati!Y193+Dati!V193+Dati!W193)/Dati!$D$237)))),0)</f>
        <v>1</v>
      </c>
    </row>
    <row r="81" spans="1:13" ht="36" customHeight="1">
      <c r="A81" s="173"/>
      <c r="B81" s="169" t="s">
        <v>788</v>
      </c>
      <c r="C81" s="170"/>
      <c r="D81" s="54">
        <f>IF(Dati!$D$227&gt;0,(Dati!D194/Dati!$D$227),0)</f>
        <v>0</v>
      </c>
      <c r="E81" s="54">
        <f>IF(Dati!$E$227&gt;0,(Dati!E194/Dati!$E$227),0)</f>
        <v>0</v>
      </c>
      <c r="F81" s="54">
        <f>IF((Dati!D194-Dati!E194+Dati!K194)&gt;0,((Dati!J194)/(Dati!D194-Dati!E194+Dati!K194)),0)</f>
        <v>0</v>
      </c>
      <c r="G81" s="54">
        <f>IF(Dati!$F$227&gt;0,(Dati!F194/Dati!$F$227),0)</f>
        <v>0</v>
      </c>
      <c r="H81" s="54">
        <f>IF(Dati!$G$227&gt;0,(Dati!G194/Dati!$G$227),0)</f>
        <v>0</v>
      </c>
      <c r="I81" s="54">
        <f>IF(Dati!$H$227&gt;0,(Dati!H194/Dati!$H$227),0)</f>
        <v>0</v>
      </c>
      <c r="J81" s="54">
        <f>IF(Dati!$I$227&gt;0,(Dati!I194/Dati!$I$227),0)</f>
        <v>0</v>
      </c>
      <c r="K81" s="54">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0.0001218171157492569</v>
      </c>
      <c r="L81" s="83">
        <f>IF((IF(Dati!$D$237=3,(Dati!$M$227+Dati!$O$227+Dati!$Q$227),(Dati!$O$227+Dati!$Q$227)/Dati!$D$237))&gt;0,((IF(Dati!$D$237=3,(Dati!M194+Dati!O194+Dati!Q194),(Dati!O194+Dati!Q194)/Dati!$D$237)/(IF(Dati!$D$237=3,(Dati!$M$227+Dati!$O$227+Dati!$Q$227),(Dati!$O$227+Dati!$Q$227)/Dati!$D$237)))),0)</f>
        <v>0</v>
      </c>
      <c r="M81" s="83">
        <f>IF((IF(Dati!$D$237=3,(Dati!L194+Dati!N194+Dati!Y194+Dati!U194+Dati!V194+Dati!W194),(Dati!N194+Dati!Y194+Dati!V194+Dati!W194)/Dati!$D$237))&gt;0,((IF(Dati!$D$237=3,(Dati!R194+Dati!S194+Dati!AC194),(Dati!S194+Dati!AC194)/Dati!$D$237)/(IF(Dati!$D$237=3,(Dati!L194+Dati!N194+Dati!Y194+Dati!U194+Dati!V194+Dati!W194),(Dati!N194+Dati!Y194+Dati!V194+Dati!W194)/Dati!$D$237)))),0)</f>
        <v>1</v>
      </c>
    </row>
    <row r="82" spans="1:13" ht="24.75" customHeight="1">
      <c r="A82" s="179" t="s">
        <v>590</v>
      </c>
      <c r="B82" s="79" t="s">
        <v>578</v>
      </c>
      <c r="C82" s="60" t="s">
        <v>379</v>
      </c>
      <c r="D82" s="54">
        <f>IF(Dati!$D$227&gt;0,(Dati!D195/Dati!$D$227),0)</f>
        <v>0</v>
      </c>
      <c r="E82" s="54">
        <f>IF(Dati!$E$227&gt;0,(Dati!E195/Dati!$E$227),0)</f>
        <v>0</v>
      </c>
      <c r="F82" s="54">
        <f>IF((Dati!D195-Dati!E195+Dati!K195)&gt;0,((Dati!J195)/(Dati!D195-Dati!E195+Dati!K195)),0)</f>
        <v>0</v>
      </c>
      <c r="G82" s="54">
        <f>IF(Dati!$F$227&gt;0,(Dati!F195/Dati!$F$227),0)</f>
        <v>0</v>
      </c>
      <c r="H82" s="54">
        <f>IF(Dati!$G$227&gt;0,(Dati!G195/Dati!$G$227),0)</f>
        <v>0</v>
      </c>
      <c r="I82" s="54">
        <f>IF(Dati!$H$227&gt;0,(Dati!H195/Dati!$H$227),0)</f>
        <v>0</v>
      </c>
      <c r="J82" s="54">
        <f>IF(Dati!$I$227&gt;0,(Dati!I195/Dati!$I$227),0)</f>
        <v>0</v>
      </c>
      <c r="K82" s="54">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3">
        <f>IF((IF(Dati!$D$237=3,(Dati!$M$227+Dati!$O$227+Dati!$Q$227),(Dati!$O$227+Dati!$Q$227)/Dati!$D$237))&gt;0,((IF(Dati!$D$237=3,(Dati!M195+Dati!O195+Dati!Q195),(Dati!O195+Dati!Q195)/Dati!$D$237)/(IF(Dati!$D$237=3,(Dati!$M$227+Dati!$O$227+Dati!$Q$227),(Dati!$O$227+Dati!$Q$227)/Dati!$D$237)))),0)</f>
        <v>0</v>
      </c>
      <c r="M82" s="83">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72"/>
      <c r="B83" s="79" t="s">
        <v>572</v>
      </c>
      <c r="C83" s="60" t="s">
        <v>381</v>
      </c>
      <c r="D83" s="54">
        <f>IF(Dati!$D$227&gt;0,(Dati!D196/Dati!$D$227),0)</f>
        <v>0.004742356292699084</v>
      </c>
      <c r="E83" s="54">
        <f>IF(Dati!$E$227&gt;0,(Dati!E196/Dati!$E$227),0)</f>
        <v>0</v>
      </c>
      <c r="F83" s="54">
        <f>IF((Dati!D196-Dati!E196+Dati!K196)&gt;0,((Dati!J196)/(Dati!D196-Dati!E196+Dati!K196)),0)</f>
        <v>1</v>
      </c>
      <c r="G83" s="54">
        <f>IF(Dati!$F$227&gt;0,(Dati!F196/Dati!$F$227),0)</f>
        <v>0.005877647051235792</v>
      </c>
      <c r="H83" s="54">
        <f>IF(Dati!$G$227&gt;0,(Dati!G196/Dati!$G$227),0)</f>
        <v>0</v>
      </c>
      <c r="I83" s="54">
        <f>IF(Dati!$H$227&gt;0,(Dati!H196/Dati!$H$227),0)</f>
        <v>0.006542298522140595</v>
      </c>
      <c r="J83" s="54">
        <f>IF(Dati!$I$227&gt;0,(Dati!I196/Dati!$I$227),0)</f>
        <v>0</v>
      </c>
      <c r="K83" s="54">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0.011078967805445285</v>
      </c>
      <c r="L83" s="83">
        <f>IF((IF(Dati!$D$237=3,(Dati!$M$227+Dati!$O$227+Dati!$Q$227),(Dati!$O$227+Dati!$Q$227)/Dati!$D$237))&gt;0,((IF(Dati!$D$237=3,(Dati!M196+Dati!O196+Dati!Q196),(Dati!O196+Dati!Q196)/Dati!$D$237)/(IF(Dati!$D$237=3,(Dati!$M$227+Dati!$O$227+Dati!$Q$227),(Dati!$O$227+Dati!$Q$227)/Dati!$D$237)))),0)</f>
        <v>0.0005838198976639182</v>
      </c>
      <c r="M83" s="83">
        <f>IF((IF(Dati!$D$237=3,(Dati!L196+Dati!N196+Dati!Y196+Dati!U196+Dati!V196+Dati!W196),(Dati!N196+Dati!Y196+Dati!V196+Dati!W196)/Dati!$D$237))&gt;0,((IF(Dati!$D$237=3,(Dati!R196+Dati!S196+Dati!AC196),(Dati!S196+Dati!AC196)/Dati!$D$237)/(IF(Dati!$D$237=3,(Dati!L196+Dati!N196+Dati!Y196+Dati!U196+Dati!V196+Dati!W196),(Dati!N196+Dati!Y196+Dati!V196+Dati!W196)/Dati!$D$237)))),0)</f>
        <v>0.9645232269502365</v>
      </c>
    </row>
    <row r="84" spans="1:13" ht="27.75" customHeight="1">
      <c r="A84" s="172"/>
      <c r="B84" s="79" t="s">
        <v>562</v>
      </c>
      <c r="C84" s="60" t="s">
        <v>383</v>
      </c>
      <c r="D84" s="54">
        <f>IF(Dati!$D$227&gt;0,(Dati!D197/Dati!$D$227),0)</f>
        <v>0</v>
      </c>
      <c r="E84" s="54">
        <f>IF(Dati!$E$227&gt;0,(Dati!E197/Dati!$E$227),0)</f>
        <v>0</v>
      </c>
      <c r="F84" s="54">
        <f>IF((Dati!D197-Dati!E197+Dati!K197)&gt;0,((Dati!J197)/(Dati!D197-Dati!E197+Dati!K197)),0)</f>
        <v>0</v>
      </c>
      <c r="G84" s="54">
        <f>IF(Dati!$F$227&gt;0,(Dati!F197/Dati!$F$227),0)</f>
        <v>0</v>
      </c>
      <c r="H84" s="54">
        <f>IF(Dati!$G$227&gt;0,(Dati!G197/Dati!$G$227),0)</f>
        <v>0</v>
      </c>
      <c r="I84" s="54">
        <f>IF(Dati!$H$227&gt;0,(Dati!H197/Dati!$H$227),0)</f>
        <v>0</v>
      </c>
      <c r="J84" s="54">
        <f>IF(Dati!$I$227&gt;0,(Dati!I197/Dati!$I$227),0)</f>
        <v>0</v>
      </c>
      <c r="K84" s="54">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3">
        <f>IF((IF(Dati!$D$237=3,(Dati!$M$227+Dati!$O$227+Dati!$Q$227),(Dati!$O$227+Dati!$Q$227)/Dati!$D$237))&gt;0,((IF(Dati!$D$237=3,(Dati!M197+Dati!O197+Dati!Q197),(Dati!O197+Dati!Q197)/Dati!$D$237)/(IF(Dati!$D$237=3,(Dati!$M$227+Dati!$O$227+Dati!$Q$227),(Dati!$O$227+Dati!$Q$227)/Dati!$D$237)))),0)</f>
        <v>0</v>
      </c>
      <c r="M84" s="8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72"/>
      <c r="B85" s="79" t="s">
        <v>563</v>
      </c>
      <c r="C85" s="60" t="s">
        <v>385</v>
      </c>
      <c r="D85" s="54">
        <f>IF(Dati!$D$227&gt;0,(Dati!D198/Dati!$D$227),0)</f>
        <v>0</v>
      </c>
      <c r="E85" s="54">
        <f>IF(Dati!$E$227&gt;0,(Dati!E198/Dati!$E$227),0)</f>
        <v>0</v>
      </c>
      <c r="F85" s="54">
        <f>IF((Dati!D198-Dati!E198+Dati!K198)&gt;0,((Dati!J198)/(Dati!D198-Dati!E198+Dati!K198)),0)</f>
        <v>0</v>
      </c>
      <c r="G85" s="54">
        <f>IF(Dati!$F$227&gt;0,(Dati!F198/Dati!$F$227),0)</f>
        <v>0</v>
      </c>
      <c r="H85" s="54">
        <f>IF(Dati!$G$227&gt;0,(Dati!G198/Dati!$G$227),0)</f>
        <v>0</v>
      </c>
      <c r="I85" s="54">
        <f>IF(Dati!$H$227&gt;0,(Dati!H198/Dati!$H$227),0)</f>
        <v>0</v>
      </c>
      <c r="J85" s="54">
        <f>IF(Dati!$I$227&gt;0,(Dati!I198/Dati!$I$227),0)</f>
        <v>0</v>
      </c>
      <c r="K85" s="54">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3">
        <f>IF((IF(Dati!$D$237=3,(Dati!$M$227+Dati!$O$227+Dati!$Q$227),(Dati!$O$227+Dati!$Q$227)/Dati!$D$237))&gt;0,((IF(Dati!$D$237=3,(Dati!M198+Dati!O198+Dati!Q198),(Dati!O198+Dati!Q198)/Dati!$D$237)/(IF(Dati!$D$237=3,(Dati!$M$227+Dati!$O$227+Dati!$Q$227),(Dati!$O$227+Dati!$Q$227)/Dati!$D$237)))),0)</f>
        <v>0</v>
      </c>
      <c r="M85" s="83">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73"/>
      <c r="B86" s="170" t="s">
        <v>789</v>
      </c>
      <c r="C86" s="170"/>
      <c r="D86" s="54">
        <f>IF(Dati!$D$227&gt;0,(Dati!D199/Dati!$D$227),0)</f>
        <v>0.004742356292699084</v>
      </c>
      <c r="E86" s="54">
        <f>IF(Dati!$E$227&gt;0,(Dati!E199/Dati!$E$227),0)</f>
        <v>0</v>
      </c>
      <c r="F86" s="54">
        <f>IF((Dati!D199-Dati!E199+Dati!K199)&gt;0,((Dati!J199)/(Dati!D199-Dati!E199+Dati!K199)),0)</f>
        <v>1</v>
      </c>
      <c r="G86" s="54">
        <f>IF(Dati!$F$227&gt;0,(Dati!F199/Dati!$F$227),0)</f>
        <v>0.005877647051235792</v>
      </c>
      <c r="H86" s="54">
        <f>IF(Dati!$G$227&gt;0,(Dati!G199/Dati!$G$227),0)</f>
        <v>0</v>
      </c>
      <c r="I86" s="54">
        <f>IF(Dati!$H$227&gt;0,(Dati!H199/Dati!$H$227),0)</f>
        <v>0.006542298522140595</v>
      </c>
      <c r="J86" s="54">
        <f>IF(Dati!$I$227&gt;0,(Dati!I199/Dati!$I$227),0)</f>
        <v>0</v>
      </c>
      <c r="K86" s="54">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0.011078967805445285</v>
      </c>
      <c r="L86" s="83">
        <f>IF((IF(Dati!$D$237=3,(Dati!$M$227+Dati!$O$227+Dati!$Q$227),(Dati!$O$227+Dati!$Q$227)/Dati!$D$237))&gt;0,((IF(Dati!$D$237=3,(Dati!M199+Dati!O199+Dati!Q199),(Dati!O199+Dati!Q199)/Dati!$D$237)/(IF(Dati!$D$237=3,(Dati!$M$227+Dati!$O$227+Dati!$Q$227),(Dati!$O$227+Dati!$Q$227)/Dati!$D$237)))),0)</f>
        <v>0.0005838198976639182</v>
      </c>
      <c r="M86" s="83">
        <f>IF((IF(Dati!$D$237=3,(Dati!L199+Dati!N199+Dati!Y199+Dati!U199+Dati!V199+Dati!W199),(Dati!N199+Dati!Y199+Dati!V199+Dati!W199)/Dati!$D$237))&gt;0,((IF(Dati!$D$237=3,(Dati!R199+Dati!S199+Dati!AC199),(Dati!S199+Dati!AC199)/Dati!$D$237)/(IF(Dati!$D$237=3,(Dati!L199+Dati!N199+Dati!Y199+Dati!U199+Dati!V199+Dati!W199),(Dati!N199+Dati!Y199+Dati!V199+Dati!W199)/Dati!$D$237)))),0)</f>
        <v>0.9645232269502365</v>
      </c>
    </row>
    <row r="87" spans="1:13" ht="36" customHeight="1">
      <c r="A87" s="171" t="s">
        <v>591</v>
      </c>
      <c r="B87" s="79" t="s">
        <v>578</v>
      </c>
      <c r="C87" s="60" t="s">
        <v>389</v>
      </c>
      <c r="D87" s="54">
        <f>IF(Dati!$D$227&gt;0,(Dati!D200/Dati!$D$227),0)</f>
        <v>0</v>
      </c>
      <c r="E87" s="54">
        <f>IF(Dati!$E$227&gt;0,(Dati!E200/Dati!$E$227),0)</f>
        <v>0</v>
      </c>
      <c r="F87" s="54">
        <f>IF((Dati!D200-Dati!E200+Dati!K200)&gt;0,((Dati!J200)/(Dati!D200-Dati!E200+Dati!K200)),0)</f>
        <v>0</v>
      </c>
      <c r="G87" s="54">
        <f>IF(Dati!$F$227&gt;0,(Dati!F200/Dati!$F$227),0)</f>
        <v>0</v>
      </c>
      <c r="H87" s="54">
        <f>IF(Dati!$G$227&gt;0,(Dati!G200/Dati!$G$227),0)</f>
        <v>0</v>
      </c>
      <c r="I87" s="54">
        <f>IF(Dati!$H$227&gt;0,(Dati!H200/Dati!$H$227),0)</f>
        <v>0</v>
      </c>
      <c r="J87" s="54">
        <f>IF(Dati!$I$227&gt;0,(Dati!I200/Dati!$I$227),0)</f>
        <v>0</v>
      </c>
      <c r="K87" s="54">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3">
        <f>IF((IF(Dati!$D$237=3,(Dati!$M$227+Dati!$O$227+Dati!$Q$227),(Dati!$O$227+Dati!$Q$227)/Dati!$D$237))&gt;0,((IF(Dati!$D$237=3,(Dati!M200+Dati!O200+Dati!Q200),(Dati!O200+Dati!Q200)/Dati!$D$237)/(IF(Dati!$D$237=3,(Dati!$M$227+Dati!$O$227+Dati!$Q$227),(Dati!$O$227+Dati!$Q$227)/Dati!$D$237)))),0)</f>
        <v>0</v>
      </c>
      <c r="M87" s="8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72"/>
      <c r="B88" s="79" t="s">
        <v>572</v>
      </c>
      <c r="C88" s="60" t="s">
        <v>391</v>
      </c>
      <c r="D88" s="54">
        <f>IF(Dati!$D$227&gt;0,(Dati!D201/Dati!$D$227),0)</f>
        <v>0</v>
      </c>
      <c r="E88" s="54">
        <f>IF(Dati!$E$227&gt;0,(Dati!E201/Dati!$E$227),0)</f>
        <v>0</v>
      </c>
      <c r="F88" s="54">
        <f>IF((Dati!D201-Dati!E201+Dati!K201)&gt;0,((Dati!J201)/(Dati!D201-Dati!E201+Dati!K201)),0)</f>
        <v>0</v>
      </c>
      <c r="G88" s="54">
        <f>IF(Dati!$F$227&gt;0,(Dati!F201/Dati!$F$227),0)</f>
        <v>0</v>
      </c>
      <c r="H88" s="54">
        <f>IF(Dati!$G$227&gt;0,(Dati!G201/Dati!$G$227),0)</f>
        <v>0</v>
      </c>
      <c r="I88" s="54">
        <f>IF(Dati!$H$227&gt;0,(Dati!H201/Dati!$H$227),0)</f>
        <v>0</v>
      </c>
      <c r="J88" s="54">
        <f>IF(Dati!$I$227&gt;0,(Dati!I201/Dati!$I$227),0)</f>
        <v>0</v>
      </c>
      <c r="K88" s="54">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3">
        <f>IF((IF(Dati!$D$237=3,(Dati!$M$227+Dati!$O$227+Dati!$Q$227),(Dati!$O$227+Dati!$Q$227)/Dati!$D$237))&gt;0,((IF(Dati!$D$237=3,(Dati!M201+Dati!O201+Dati!Q201),(Dati!O201+Dati!Q201)/Dati!$D$237)/(IF(Dati!$D$237=3,(Dati!$M$227+Dati!$O$227+Dati!$Q$227),(Dati!$O$227+Dati!$Q$227)/Dati!$D$237)))),0)</f>
        <v>0</v>
      </c>
      <c r="M88" s="8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72"/>
      <c r="B89" s="79" t="s">
        <v>562</v>
      </c>
      <c r="C89" s="60" t="s">
        <v>790</v>
      </c>
      <c r="D89" s="54">
        <f>IF(Dati!$D$227&gt;0,(Dati!D202/Dati!$D$227),0)</f>
        <v>0.0021761852969910764</v>
      </c>
      <c r="E89" s="54">
        <f>IF(Dati!$E$227&gt;0,(Dati!E202/Dati!$E$227),0)</f>
        <v>0</v>
      </c>
      <c r="F89" s="54">
        <f>IF((Dati!D202-Dati!E202+Dati!K202)&gt;0,((Dati!J202)/(Dati!D202-Dati!E202+Dati!K202)),0)</f>
        <v>1</v>
      </c>
      <c r="G89" s="54">
        <f>IF(Dati!$F$227&gt;0,(Dati!F202/Dati!$F$227),0)</f>
        <v>0.0011881489686305336</v>
      </c>
      <c r="H89" s="54">
        <f>IF(Dati!$G$227&gt;0,(Dati!G202/Dati!$G$227),0)</f>
        <v>0</v>
      </c>
      <c r="I89" s="54">
        <f>IF(Dati!$H$227&gt;0,(Dati!H202/Dati!$H$227),0)</f>
        <v>0.0011080655246306357</v>
      </c>
      <c r="J89" s="54">
        <f>IF(Dati!$I$227&gt;0,(Dati!I202/Dati!$I$227),0)</f>
        <v>0</v>
      </c>
      <c r="K89" s="54">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0.0030258865538722794</v>
      </c>
      <c r="L89" s="83">
        <f>IF((IF(Dati!$D$237=3,(Dati!$M$227+Dati!$O$227+Dati!$Q$227),(Dati!$O$227+Dati!$Q$227)/Dati!$D$237))&gt;0,((IF(Dati!$D$237=3,(Dati!M202+Dati!O202+Dati!Q202),(Dati!O202+Dati!Q202)/Dati!$D$237)/(IF(Dati!$D$237=3,(Dati!$M$227+Dati!$O$227+Dati!$Q$227),(Dati!$O$227+Dati!$Q$227)/Dati!$D$237)))),0)</f>
        <v>0.02782226411418552</v>
      </c>
      <c r="M89" s="83">
        <f>IF((IF(Dati!$D$237=3,(Dati!L202+Dati!N202+Dati!Y202+Dati!U202+Dati!V202+Dati!W202),(Dati!N202+Dati!Y202+Dati!V202+Dati!W202)/Dati!$D$237))&gt;0,((IF(Dati!$D$237=3,(Dati!R202+Dati!S202+Dati!AC202),(Dati!S202+Dati!AC202)/Dati!$D$237)/(IF(Dati!$D$237=3,(Dati!L202+Dati!N202+Dati!Y202+Dati!U202+Dati!V202+Dati!W202),(Dati!N202+Dati!Y202+Dati!V202+Dati!W202)/Dati!$D$237)))),0)</f>
        <v>1.290626543922682</v>
      </c>
    </row>
    <row r="90" spans="1:13" ht="36" customHeight="1">
      <c r="A90" s="173"/>
      <c r="B90" s="170" t="s">
        <v>592</v>
      </c>
      <c r="C90" s="170"/>
      <c r="D90" s="54">
        <f>IF(Dati!$D$227&gt;0,(Dati!D203/Dati!$D$227),0)</f>
        <v>0.0021761852969910764</v>
      </c>
      <c r="E90" s="54">
        <f>IF(Dati!$E$227&gt;0,(Dati!E203/Dati!$E$227),0)</f>
        <v>0</v>
      </c>
      <c r="F90" s="54">
        <f>IF((Dati!D203-Dati!E203+Dati!K203)&gt;0,((Dati!J203)/(Dati!D203-Dati!E203+Dati!K203)),0)</f>
        <v>1</v>
      </c>
      <c r="G90" s="54">
        <f>IF(Dati!$F$227&gt;0,(Dati!F203/Dati!$F$227),0)</f>
        <v>0.0011881489686305336</v>
      </c>
      <c r="H90" s="54">
        <f>IF(Dati!$G$227&gt;0,(Dati!G203/Dati!$G$227),0)</f>
        <v>0</v>
      </c>
      <c r="I90" s="54">
        <f>IF(Dati!$H$227&gt;0,(Dati!H203/Dati!$H$227),0)</f>
        <v>0.0011080655246306357</v>
      </c>
      <c r="J90" s="54">
        <f>IF(Dati!$I$227&gt;0,(Dati!I203/Dati!$I$227),0)</f>
        <v>0</v>
      </c>
      <c r="K90" s="54">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0.0030258865538722794</v>
      </c>
      <c r="L90" s="83">
        <f>IF((IF(Dati!$D$237=3,(Dati!$M$227+Dati!$O$227+Dati!$Q$227),(Dati!$O$227+Dati!$Q$227)/Dati!$D$237))&gt;0,((IF(Dati!$D$237=3,(Dati!M203+Dati!O203+Dati!Q203),(Dati!O203+Dati!Q203)/Dati!$D$237)/(IF(Dati!$D$237=3,(Dati!$M$227+Dati!$O$227+Dati!$Q$227),(Dati!$O$227+Dati!$Q$227)/Dati!$D$237)))),0)</f>
        <v>0.02782226411418552</v>
      </c>
      <c r="M90" s="83">
        <f>IF((IF(Dati!$D$237=3,(Dati!L203+Dati!N203+Dati!Y203+Dati!U203+Dati!V203+Dati!W203),(Dati!N203+Dati!Y203+Dati!V203+Dati!W203)/Dati!$D$237))&gt;0,((IF(Dati!$D$237=3,(Dati!R203+Dati!S203+Dati!AC203),(Dati!S203+Dati!AC203)/Dati!$D$237)/(IF(Dati!$D$237=3,(Dati!L203+Dati!N203+Dati!Y203+Dati!U203+Dati!V203+Dati!W203),(Dati!N203+Dati!Y203+Dati!V203+Dati!W203)/Dati!$D$237)))),0)</f>
        <v>1.290626543922682</v>
      </c>
    </row>
    <row r="91" spans="1:13" ht="36" customHeight="1">
      <c r="A91" s="171" t="s">
        <v>593</v>
      </c>
      <c r="B91" s="79" t="s">
        <v>578</v>
      </c>
      <c r="C91" s="60" t="s">
        <v>397</v>
      </c>
      <c r="D91" s="54">
        <f>IF(Dati!$D$227&gt;0,(Dati!D204/Dati!$D$227),0)</f>
        <v>0</v>
      </c>
      <c r="E91" s="54">
        <f>IF(Dati!$E$227&gt;0,(Dati!E204/Dati!$E$227),0)</f>
        <v>0</v>
      </c>
      <c r="F91" s="54">
        <f>IF((Dati!D204-Dati!E204+Dati!K204)&gt;0,((Dati!J204)/(Dati!D204-Dati!E204+Dati!K204)),0)</f>
        <v>0</v>
      </c>
      <c r="G91" s="54">
        <f>IF(Dati!$F$227&gt;0,(Dati!F204/Dati!$F$227),0)</f>
        <v>0</v>
      </c>
      <c r="H91" s="54">
        <f>IF(Dati!$G$227&gt;0,(Dati!G204/Dati!$G$227),0)</f>
        <v>0</v>
      </c>
      <c r="I91" s="54">
        <f>IF(Dati!$H$227&gt;0,(Dati!H204/Dati!$H$227),0)</f>
        <v>0</v>
      </c>
      <c r="J91" s="54">
        <f>IF(Dati!$I$227&gt;0,(Dati!I204/Dati!$I$227),0)</f>
        <v>0</v>
      </c>
      <c r="K91" s="54">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3">
        <f>IF((IF(Dati!$D$237=3,(Dati!$M$227+Dati!$O$227+Dati!$Q$227),(Dati!$O$227+Dati!$Q$227)/Dati!$D$237))&gt;0,((IF(Dati!$D$237=3,(Dati!M204+Dati!O204+Dati!Q204),(Dati!O204+Dati!Q204)/Dati!$D$237)/(IF(Dati!$D$237=3,(Dati!$M$227+Dati!$O$227+Dati!$Q$227),(Dati!$O$227+Dati!$Q$227)/Dati!$D$237)))),0)</f>
        <v>0</v>
      </c>
      <c r="M91" s="83">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72"/>
      <c r="B92" s="79" t="s">
        <v>572</v>
      </c>
      <c r="C92" s="60" t="s">
        <v>399</v>
      </c>
      <c r="D92" s="54">
        <f>IF(Dati!$D$227&gt;0,(Dati!D205/Dati!$D$227),0)</f>
        <v>0</v>
      </c>
      <c r="E92" s="54">
        <f>IF(Dati!$E$227&gt;0,(Dati!E205/Dati!$E$227),0)</f>
        <v>0</v>
      </c>
      <c r="F92" s="54">
        <f>IF((Dati!D205-Dati!E205+Dati!K205)&gt;0,((Dati!J205)/(Dati!D205-Dati!E205+Dati!K205)),0)</f>
        <v>0</v>
      </c>
      <c r="G92" s="54">
        <f>IF(Dati!$F$227&gt;0,(Dati!F205/Dati!$F$227),0)</f>
        <v>0</v>
      </c>
      <c r="H92" s="54">
        <f>IF(Dati!$G$227&gt;0,(Dati!G205/Dati!$G$227),0)</f>
        <v>0</v>
      </c>
      <c r="I92" s="54">
        <f>IF(Dati!$H$227&gt;0,(Dati!H205/Dati!$H$227),0)</f>
        <v>0</v>
      </c>
      <c r="J92" s="54">
        <f>IF(Dati!$I$227&gt;0,(Dati!I205/Dati!$I$227),0)</f>
        <v>0</v>
      </c>
      <c r="K92" s="54">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3">
        <f>IF((IF(Dati!$D$237=3,(Dati!$M$227+Dati!$O$227+Dati!$Q$227),(Dati!$O$227+Dati!$Q$227)/Dati!$D$237))&gt;0,((IF(Dati!$D$237=3,(Dati!M205+Dati!O205+Dati!Q205),(Dati!O205+Dati!Q205)/Dati!$D$237)/(IF(Dati!$D$237=3,(Dati!$M$227+Dati!$O$227+Dati!$Q$227),(Dati!$O$227+Dati!$Q$227)/Dati!$D$237)))),0)</f>
        <v>0</v>
      </c>
      <c r="M92" s="8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73"/>
      <c r="B93" s="170" t="s">
        <v>594</v>
      </c>
      <c r="C93" s="170"/>
      <c r="D93" s="54">
        <f>IF(Dati!$D$227&gt;0,(Dati!D206/Dati!$D$227),0)</f>
        <v>0</v>
      </c>
      <c r="E93" s="54">
        <f>IF(Dati!$E$227&gt;0,(Dati!E206/Dati!$E$227),0)</f>
        <v>0</v>
      </c>
      <c r="F93" s="54">
        <f>IF((Dati!D206-Dati!E206+Dati!K206)&gt;0,((Dati!J206)/(Dati!D206-Dati!E206+Dati!K206)),0)</f>
        <v>0</v>
      </c>
      <c r="G93" s="54">
        <f>IF(Dati!$F$227&gt;0,(Dati!F206/Dati!$F$227),0)</f>
        <v>0</v>
      </c>
      <c r="H93" s="54">
        <f>IF(Dati!$G$227&gt;0,(Dati!G206/Dati!$G$227),0)</f>
        <v>0</v>
      </c>
      <c r="I93" s="54">
        <f>IF(Dati!$H$227&gt;0,(Dati!H206/Dati!$H$227),0)</f>
        <v>0</v>
      </c>
      <c r="J93" s="54">
        <f>IF(Dati!$I$227&gt;0,(Dati!I206/Dati!$I$227),0)</f>
        <v>0</v>
      </c>
      <c r="K93" s="54">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3">
        <f>IF((IF(Dati!$D$237=3,(Dati!$M$227+Dati!$O$227+Dati!$Q$227),(Dati!$O$227+Dati!$Q$227)/Dati!$D$237))&gt;0,((IF(Dati!$D$237=3,(Dati!M206+Dati!O206+Dati!Q206),(Dati!O206+Dati!Q206)/Dati!$D$237)/(IF(Dati!$D$237=3,(Dati!$M$227+Dati!$O$227+Dati!$Q$227),(Dati!$O$227+Dati!$Q$227)/Dati!$D$237)))),0)</f>
        <v>0</v>
      </c>
      <c r="M93" s="83">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71" t="s">
        <v>595</v>
      </c>
      <c r="B94" s="79" t="s">
        <v>560</v>
      </c>
      <c r="C94" s="60" t="s">
        <v>403</v>
      </c>
      <c r="D94" s="54">
        <f>IF(Dati!$D$227&gt;0,(Dati!D207/Dati!$D$227),0)</f>
        <v>0.003206431247099494</v>
      </c>
      <c r="E94" s="54">
        <f>IF(Dati!$E$227&gt;0,(Dati!E207/Dati!$E$227),0)</f>
        <v>0</v>
      </c>
      <c r="F94" s="54">
        <f>IF((Dati!D207-Dati!E207+Dati!K207)&gt;0,((Dati!J207)/(Dati!D207-Dati!E207+Dati!K207)),0)</f>
        <v>1</v>
      </c>
      <c r="G94" s="54">
        <f>IF(Dati!$F$227&gt;0,(Dati!F207/Dati!$F$227),0)</f>
        <v>0.004721121729657749</v>
      </c>
      <c r="H94" s="54">
        <f>IF(Dati!$G$227&gt;0,(Dati!G207/Dati!$G$227),0)</f>
        <v>0</v>
      </c>
      <c r="I94" s="54">
        <f>IF(Dati!$H$227&gt;0,(Dati!H207/Dati!$H$227),0)</f>
        <v>0.00534329111494926</v>
      </c>
      <c r="J94" s="54">
        <f>IF(Dati!$I$227&gt;0,(Dati!I207/Dati!$I$227),0)</f>
        <v>0</v>
      </c>
      <c r="K94" s="54">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0.005198606609815246</v>
      </c>
      <c r="L94" s="83">
        <f>IF((IF(Dati!$D$237=3,(Dati!$M$227+Dati!$O$227+Dati!$Q$227),(Dati!$O$227+Dati!$Q$227)/Dati!$D$237))&gt;0,((IF(Dati!$D$237=3,(Dati!M207+Dati!O207+Dati!Q207),(Dati!O207+Dati!Q207)/Dati!$D$237)/(IF(Dati!$D$237=3,(Dati!$M$227+Dati!$O$227+Dati!$Q$227),(Dati!$O$227+Dati!$Q$227)/Dati!$D$237)))),0)</f>
        <v>0</v>
      </c>
      <c r="M94" s="83">
        <f>IF((IF(Dati!$D$237=3,(Dati!L207+Dati!N207+Dati!Y207+Dati!U207+Dati!V207+Dati!W207),(Dati!N207+Dati!Y207+Dati!V207+Dati!W207)/Dati!$D$237))&gt;0,((IF(Dati!$D$237=3,(Dati!R207+Dati!S207+Dati!AC207),(Dati!S207+Dati!AC207)/Dati!$D$237)/(IF(Dati!$D$237=3,(Dati!L207+Dati!N207+Dati!Y207+Dati!U207+Dati!V207+Dati!W207),(Dati!N207+Dati!Y207+Dati!V207+Dati!W207)/Dati!$D$237)))),0)</f>
        <v>0.8600688014385394</v>
      </c>
    </row>
    <row r="95" spans="1:13" ht="45" customHeight="1">
      <c r="A95" s="173"/>
      <c r="B95" s="174" t="s">
        <v>596</v>
      </c>
      <c r="C95" s="175"/>
      <c r="D95" s="54">
        <f>IF(Dati!$D$227&gt;0,(Dati!D208/Dati!$D$227),0)</f>
        <v>0.003206431247099494</v>
      </c>
      <c r="E95" s="54">
        <f>IF(Dati!$E$227&gt;0,(Dati!E208/Dati!$E$227),0)</f>
        <v>0</v>
      </c>
      <c r="F95" s="54">
        <f>IF((Dati!D208-Dati!E208+Dati!K208)&gt;0,((Dati!J208)/(Dati!D208-Dati!E208+Dati!K208)),0)</f>
        <v>1</v>
      </c>
      <c r="G95" s="54">
        <f>IF(Dati!$F$227&gt;0,(Dati!F208/Dati!$F$227),0)</f>
        <v>0.004721121729657749</v>
      </c>
      <c r="H95" s="54">
        <f>IF(Dati!$G$227&gt;0,(Dati!G208/Dati!$G$227),0)</f>
        <v>0</v>
      </c>
      <c r="I95" s="54">
        <f>IF(Dati!$H$227&gt;0,(Dati!H208/Dati!$H$227),0)</f>
        <v>0.00534329111494926</v>
      </c>
      <c r="J95" s="54">
        <f>IF(Dati!$I$227&gt;0,(Dati!I208/Dati!$I$227),0)</f>
        <v>0</v>
      </c>
      <c r="K95" s="54">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0.005198606609815246</v>
      </c>
      <c r="L95" s="83">
        <f>IF((IF(Dati!$D$237=3,(Dati!$M$227+Dati!$O$227+Dati!$Q$227),(Dati!$O$227+Dati!$Q$227)/Dati!$D$237))&gt;0,((IF(Dati!$D$237=3,(Dati!M208+Dati!O208+Dati!Q208),(Dati!O208+Dati!Q208)/Dati!$D$237)/(IF(Dati!$D$237=3,(Dati!$M$227+Dati!$O$227+Dati!$Q$227),(Dati!$O$227+Dati!$Q$227)/Dati!$D$237)))),0)</f>
        <v>0</v>
      </c>
      <c r="M95" s="83">
        <f>IF((IF(Dati!$D$237=3,(Dati!L208+Dati!N208+Dati!Y208+Dati!U208+Dati!V208+Dati!W208),(Dati!N208+Dati!Y208+Dati!V208+Dati!W208)/Dati!$D$237))&gt;0,((IF(Dati!$D$237=3,(Dati!R208+Dati!S208+Dati!AC208),(Dati!S208+Dati!AC208)/Dati!$D$237)/(IF(Dati!$D$237=3,(Dati!L208+Dati!N208+Dati!Y208+Dati!U208+Dati!V208+Dati!W208),(Dati!N208+Dati!Y208+Dati!V208+Dati!W208)/Dati!$D$237)))),0)</f>
        <v>0.8600688014385394</v>
      </c>
    </row>
    <row r="96" spans="1:13" ht="36" customHeight="1">
      <c r="A96" s="171" t="s">
        <v>597</v>
      </c>
      <c r="B96" s="79" t="s">
        <v>560</v>
      </c>
      <c r="C96" s="60" t="s">
        <v>407</v>
      </c>
      <c r="D96" s="54">
        <f>IF(Dati!$D$227&gt;0,(Dati!D209/Dati!$D$227),0)</f>
        <v>0</v>
      </c>
      <c r="E96" s="54">
        <f>IF(Dati!$E$227&gt;0,(Dati!E209/Dati!$E$227),0)</f>
        <v>0</v>
      </c>
      <c r="F96" s="54">
        <f>IF((Dati!D209-Dati!E209+Dati!K209)&gt;0,((Dati!J209)/(Dati!D209-Dati!E209+Dati!K209)),0)</f>
        <v>0</v>
      </c>
      <c r="G96" s="54">
        <f>IF(Dati!$F$227&gt;0,(Dati!F209/Dati!$F$227),0)</f>
        <v>0</v>
      </c>
      <c r="H96" s="54">
        <f>IF(Dati!$G$227&gt;0,(Dati!G209/Dati!$G$227),0)</f>
        <v>0</v>
      </c>
      <c r="I96" s="54">
        <f>IF(Dati!$H$227&gt;0,(Dati!H209/Dati!$H$227),0)</f>
        <v>0</v>
      </c>
      <c r="J96" s="54">
        <f>IF(Dati!$I$227&gt;0,(Dati!I209/Dati!$I$227),0)</f>
        <v>0</v>
      </c>
      <c r="K96" s="54">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3">
        <f>IF((IF(Dati!$D$237=3,(Dati!$M$227+Dati!$O$227+Dati!$Q$227),(Dati!$O$227+Dati!$Q$227)/Dati!$D$237))&gt;0,((IF(Dati!$D$237=3,(Dati!M209+Dati!O209+Dati!Q209),(Dati!O209+Dati!Q209)/Dati!$D$237)/(IF(Dati!$D$237=3,(Dati!$M$227+Dati!$O$227+Dati!$Q$227),(Dati!$O$227+Dati!$Q$227)/Dati!$D$237)))),0)</f>
        <v>0</v>
      </c>
      <c r="M96" s="8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73"/>
      <c r="B97" s="174" t="s">
        <v>598</v>
      </c>
      <c r="C97" s="175"/>
      <c r="D97" s="54">
        <f>IF(Dati!$D$227&gt;0,(Dati!D210/Dati!$D$227),0)</f>
        <v>0</v>
      </c>
      <c r="E97" s="54">
        <f>IF(Dati!$E$227&gt;0,(Dati!E210/Dati!$E$227),0)</f>
        <v>0</v>
      </c>
      <c r="F97" s="54">
        <f>IF((Dati!D210-Dati!E210+Dati!K210)&gt;0,((Dati!J210)/(Dati!D210-Dati!E210+Dati!K210)),0)</f>
        <v>0</v>
      </c>
      <c r="G97" s="54">
        <f>IF(Dati!$F$227&gt;0,(Dati!F210/Dati!$F$227),0)</f>
        <v>0</v>
      </c>
      <c r="H97" s="54">
        <f>IF(Dati!$G$227&gt;0,(Dati!G210/Dati!$G$227),0)</f>
        <v>0</v>
      </c>
      <c r="I97" s="54">
        <f>IF(Dati!$H$227&gt;0,(Dati!H210/Dati!$H$227),0)</f>
        <v>0</v>
      </c>
      <c r="J97" s="54">
        <f>IF(Dati!$I$227&gt;0,(Dati!I210/Dati!$I$227),0)</f>
        <v>0</v>
      </c>
      <c r="K97" s="54">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3">
        <f>IF((IF(Dati!$D$237=3,(Dati!$M$227+Dati!$O$227+Dati!$Q$227),(Dati!$O$227+Dati!$Q$227)/Dati!$D$237))&gt;0,((IF(Dati!$D$237=3,(Dati!M210+Dati!O210+Dati!Q210),(Dati!O210+Dati!Q210)/Dati!$D$237)/(IF(Dati!$D$237=3,(Dati!$M$227+Dati!$O$227+Dati!$Q$227),(Dati!$O$227+Dati!$Q$227)/Dati!$D$237)))),0)</f>
        <v>0</v>
      </c>
      <c r="M97" s="8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71" t="s">
        <v>599</v>
      </c>
      <c r="B98" s="79" t="s">
        <v>560</v>
      </c>
      <c r="C98" s="60" t="s">
        <v>411</v>
      </c>
      <c r="D98" s="54">
        <f>IF(Dati!$D$227&gt;0,(Dati!D211/Dati!$D$227),0)</f>
        <v>0</v>
      </c>
      <c r="E98" s="54">
        <f>IF(Dati!$E$227&gt;0,(Dati!E211/Dati!$E$227),0)</f>
        <v>0</v>
      </c>
      <c r="F98" s="54">
        <f>IF((Dati!D211-Dati!E211+Dati!K211)&gt;0,((Dati!J211)/(Dati!D211-Dati!E211+Dati!K211)),0)</f>
        <v>0</v>
      </c>
      <c r="G98" s="54">
        <f>IF(Dati!$F$227&gt;0,(Dati!F211/Dati!$F$227),0)</f>
        <v>0</v>
      </c>
      <c r="H98" s="54">
        <f>IF(Dati!$G$227&gt;0,(Dati!G211/Dati!$G$227),0)</f>
        <v>0</v>
      </c>
      <c r="I98" s="54">
        <f>IF(Dati!$H$227&gt;0,(Dati!H211/Dati!$H$227),0)</f>
        <v>0</v>
      </c>
      <c r="J98" s="54">
        <f>IF(Dati!$I$227&gt;0,(Dati!I211/Dati!$I$227),0)</f>
        <v>0</v>
      </c>
      <c r="K98" s="54">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3">
        <f>IF((IF(Dati!$D$237=3,(Dati!$M$227+Dati!$O$227+Dati!$Q$227),(Dati!$O$227+Dati!$Q$227)/Dati!$D$237))&gt;0,((IF(Dati!$D$237=3,(Dati!M211+Dati!O211+Dati!Q211),(Dati!O211+Dati!Q211)/Dati!$D$237)/(IF(Dati!$D$237=3,(Dati!$M$227+Dati!$O$227+Dati!$Q$227),(Dati!$O$227+Dati!$Q$227)/Dati!$D$237)))),0)</f>
        <v>0</v>
      </c>
      <c r="M98" s="8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76"/>
      <c r="B99" s="174" t="s">
        <v>600</v>
      </c>
      <c r="C99" s="175"/>
      <c r="D99" s="54">
        <f>IF(Dati!$D$227&gt;0,(Dati!D212/Dati!$D$227),0)</f>
        <v>0</v>
      </c>
      <c r="E99" s="54">
        <f>IF(Dati!$E$227&gt;0,(Dati!E212/Dati!$E$227),0)</f>
        <v>0</v>
      </c>
      <c r="F99" s="54">
        <f>IF((Dati!D212-Dati!E212+Dati!K212)&gt;0,((Dati!J212)/(Dati!D212-Dati!E212+Dati!K212)),0)</f>
        <v>0</v>
      </c>
      <c r="G99" s="54">
        <f>IF(Dati!$F$227&gt;0,(Dati!F212/Dati!$F$227),0)</f>
        <v>0</v>
      </c>
      <c r="H99" s="54">
        <f>IF(Dati!$G$227&gt;0,(Dati!G212/Dati!$G$227),0)</f>
        <v>0</v>
      </c>
      <c r="I99" s="54">
        <f>IF(Dati!$H$227&gt;0,(Dati!H212/Dati!$H$227),0)</f>
        <v>0</v>
      </c>
      <c r="J99" s="54">
        <f>IF(Dati!$I$227&gt;0,(Dati!I212/Dati!$I$227),0)</f>
        <v>0</v>
      </c>
      <c r="K99" s="54">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3">
        <f>IF((IF(Dati!$D$237=3,(Dati!$M$227+Dati!$O$227+Dati!$Q$227),(Dati!$O$227+Dati!$Q$227)/Dati!$D$237))&gt;0,((IF(Dati!$D$237=3,(Dati!M212+Dati!O212+Dati!Q212),(Dati!O212+Dati!Q212)/Dati!$D$237)/(IF(Dati!$D$237=3,(Dati!$M$227+Dati!$O$227+Dati!$Q$227),(Dati!$O$227+Dati!$Q$227)/Dati!$D$237)))),0)</f>
        <v>0</v>
      </c>
      <c r="M99" s="8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71" t="s">
        <v>601</v>
      </c>
      <c r="B100" s="79" t="s">
        <v>578</v>
      </c>
      <c r="C100" s="60" t="s">
        <v>415</v>
      </c>
      <c r="D100" s="54">
        <f>IF(Dati!$D$227&gt;0,(Dati!D213/Dati!$D$227),0)</f>
        <v>0.0015600777288510043</v>
      </c>
      <c r="E100" s="54">
        <f>IF(Dati!$E$227&gt;0,(Dati!E213/Dati!$E$227),0)</f>
        <v>0</v>
      </c>
      <c r="F100" s="54">
        <f>IF((Dati!D213-Dati!E213+Dati!K213)&gt;0,((Dati!J213)/(Dati!D213-Dati!E213+Dati!K213)),0)</f>
        <v>3.2034012433040906</v>
      </c>
      <c r="G100" s="54">
        <f>IF(Dati!$F$227&gt;0,(Dati!F213/Dati!$F$227),0)</f>
        <v>0.001894016336947339</v>
      </c>
      <c r="H100" s="54">
        <f>IF(Dati!$G$227&gt;0,(Dati!G213/Dati!$G$227),0)</f>
        <v>0</v>
      </c>
      <c r="I100" s="54">
        <f>IF(Dati!$H$227&gt;0,(Dati!H213/Dati!$H$227),0)</f>
        <v>0.001800871311541186</v>
      </c>
      <c r="J100" s="54">
        <f>IF(Dati!$I$227&gt;0,(Dati!I213/Dati!$I$227),0)</f>
        <v>0</v>
      </c>
      <c r="K100" s="54">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3">
        <f>IF((IF(Dati!$D$237=3,(Dati!$M$227+Dati!$O$227+Dati!$Q$227),(Dati!$O$227+Dati!$Q$227)/Dati!$D$237))&gt;0,((IF(Dati!$D$237=3,(Dati!M213+Dati!O213+Dati!Q213),(Dati!O213+Dati!Q213)/Dati!$D$237)/(IF(Dati!$D$237=3,(Dati!$M$227+Dati!$O$227+Dati!$Q$227),(Dati!$O$227+Dati!$Q$227)/Dati!$D$237)))),0)</f>
        <v>0</v>
      </c>
      <c r="M100" s="83">
        <v>0</v>
      </c>
    </row>
    <row r="101" spans="1:13" ht="14.25" customHeight="1">
      <c r="A101" s="172"/>
      <c r="B101" s="79" t="s">
        <v>572</v>
      </c>
      <c r="C101" s="60" t="s">
        <v>417</v>
      </c>
      <c r="D101" s="54">
        <f>IF(Dati!$D$227&gt;0,(Dati!D214/Dati!$D$227),0)</f>
        <v>0.016583056206584817</v>
      </c>
      <c r="E101" s="54">
        <f>IF(Dati!$E$227&gt;0,(Dati!E214/Dati!$E$227),0)</f>
        <v>0</v>
      </c>
      <c r="F101" s="54">
        <f>IF((Dati!D214-Dati!E214+Dati!K214)&gt;0,((Dati!J214)/(Dati!D214-Dati!E214+Dati!K214)),0)</f>
        <v>0</v>
      </c>
      <c r="G101" s="54">
        <f>IF(Dati!$F$227&gt;0,(Dati!F214/Dati!$F$227),0)</f>
        <v>0.023217999308593033</v>
      </c>
      <c r="H101" s="54">
        <f>IF(Dati!$G$227&gt;0,(Dati!G214/Dati!$G$227),0)</f>
        <v>0</v>
      </c>
      <c r="I101" s="54">
        <f>IF(Dati!$H$227&gt;0,(Dati!H214/Dati!$H$227),0)</f>
        <v>0.025799046530308418</v>
      </c>
      <c r="J101" s="54">
        <f>IF(Dati!$I$227&gt;0,(Dati!I214/Dati!$I$227),0)</f>
        <v>0</v>
      </c>
      <c r="K101" s="54">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3">
        <f>IF((IF(Dati!$D$237=3,(Dati!$M$227+Dati!$O$227+Dati!$Q$227),(Dati!$O$227+Dati!$Q$227)/Dati!$D$237))&gt;0,((IF(Dati!$D$237=3,(Dati!M214+Dati!O214+Dati!Q214),(Dati!O214+Dati!Q214)/Dati!$D$237)/(IF(Dati!$D$237=3,(Dati!$M$227+Dati!$O$227+Dati!$Q$227),(Dati!$O$227+Dati!$Q$227)/Dati!$D$237)))),0)</f>
        <v>0</v>
      </c>
      <c r="M101" s="83">
        <v>0</v>
      </c>
    </row>
    <row r="102" spans="1:13" ht="22.5" customHeight="1">
      <c r="A102" s="172"/>
      <c r="B102" s="79" t="s">
        <v>562</v>
      </c>
      <c r="C102" s="60" t="s">
        <v>419</v>
      </c>
      <c r="D102" s="54">
        <f>IF(Dati!$D$227&gt;0,(Dati!D215/Dati!$D$227),0)</f>
        <v>0</v>
      </c>
      <c r="E102" s="54">
        <f>IF(Dati!$E$227&gt;0,(Dati!E215/Dati!$E$227),0)</f>
        <v>0</v>
      </c>
      <c r="F102" s="54">
        <f>IF((Dati!D215-Dati!E215+Dati!K215)&gt;0,((Dati!J215)/(Dati!D215-Dati!E215+Dati!K215)),0)</f>
        <v>0</v>
      </c>
      <c r="G102" s="54">
        <f>IF(Dati!$F$227&gt;0,(Dati!F215/Dati!$F$227),0)</f>
        <v>0</v>
      </c>
      <c r="H102" s="54">
        <f>IF(Dati!$G$227&gt;0,(Dati!G215/Dati!$G$227),0)</f>
        <v>0</v>
      </c>
      <c r="I102" s="54">
        <f>IF(Dati!$H$227&gt;0,(Dati!H215/Dati!$H$227),0)</f>
        <v>0</v>
      </c>
      <c r="J102" s="54">
        <f>IF(Dati!$I$227&gt;0,(Dati!I215/Dati!$I$227),0)</f>
        <v>0</v>
      </c>
      <c r="K102" s="54">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3">
        <f>IF((IF(Dati!$D$237=3,(Dati!$M$227+Dati!$O$227+Dati!$Q$227),(Dati!$O$227+Dati!$Q$227)/Dati!$D$237))&gt;0,((IF(Dati!$D$237=3,(Dati!M215+Dati!O215+Dati!Q215),(Dati!O215+Dati!Q215)/Dati!$D$237)/(IF(Dati!$D$237=3,(Dati!$M$227+Dati!$O$227+Dati!$Q$227),(Dati!$O$227+Dati!$Q$227)/Dati!$D$237)))),0)</f>
        <v>0</v>
      </c>
      <c r="M102" s="83">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73"/>
      <c r="B103" s="170" t="s">
        <v>602</v>
      </c>
      <c r="C103" s="170"/>
      <c r="D103" s="54">
        <f>IF(Dati!$D$227&gt;0,(Dati!D216/Dati!$D$227),0)</f>
        <v>0.01814313393543582</v>
      </c>
      <c r="E103" s="54">
        <f>IF(Dati!$E$227&gt;0,(Dati!E216/Dati!$E$227),0)</f>
        <v>0</v>
      </c>
      <c r="F103" s="54">
        <f>IF((Dati!D216-Dati!E216+Dati!K216)&gt;0,((Dati!J216)/(Dati!D216-Dati!E216+Dati!K216)),0)</f>
        <v>0.2754515815204051</v>
      </c>
      <c r="G103" s="54">
        <f>IF(Dati!$F$227&gt;0,(Dati!F216/Dati!$F$227),0)</f>
        <v>0.025112015645540373</v>
      </c>
      <c r="H103" s="54">
        <f>IF(Dati!$G$227&gt;0,(Dati!G216/Dati!$G$227),0)</f>
        <v>0</v>
      </c>
      <c r="I103" s="54">
        <f>IF(Dati!$H$227&gt;0,(Dati!H216/Dati!$H$227),0)</f>
        <v>0.027599917841849606</v>
      </c>
      <c r="J103" s="54">
        <f>IF(Dati!$I$227&gt;0,(Dati!I216/Dati!$I$227),0)</f>
        <v>0</v>
      </c>
      <c r="K103" s="54">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3">
        <f>IF((IF(Dati!$D$237=3,(Dati!$M$227+Dati!$O$227+Dati!$Q$227),(Dati!$O$227+Dati!$Q$227)/Dati!$D$237))&gt;0,((IF(Dati!$D$237=3,(Dati!M216+Dati!O216+Dati!Q216),(Dati!O216+Dati!Q216)/Dati!$D$237)/(IF(Dati!$D$237=3,(Dati!$M$227+Dati!$O$227+Dati!$Q$227),(Dati!$O$227+Dati!$Q$227)/Dati!$D$237)))),0)</f>
        <v>0</v>
      </c>
      <c r="M103" s="83">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82" t="s">
        <v>791</v>
      </c>
      <c r="B104" s="79" t="s">
        <v>578</v>
      </c>
      <c r="C104" s="60" t="s">
        <v>423</v>
      </c>
      <c r="D104" s="54">
        <f>IF(Dati!$D$227&gt;0,(Dati!D217/Dati!$D$227),0)</f>
        <v>0</v>
      </c>
      <c r="E104" s="54">
        <f>IF(Dati!$E$227&gt;0,(Dati!E217/Dati!$E$227),0)</f>
        <v>0</v>
      </c>
      <c r="F104" s="54">
        <f>IF((Dati!D217-Dati!E217+Dati!K217)&gt;0,((Dati!J217)/(Dati!D217-Dati!E217+Dati!K217)),0)</f>
        <v>0</v>
      </c>
      <c r="G104" s="54">
        <f>IF(Dati!$F$227&gt;0,(Dati!F217/Dati!$F$227),0)</f>
        <v>0</v>
      </c>
      <c r="H104" s="54">
        <f>IF(Dati!$G$227&gt;0,(Dati!G217/Dati!$G$227),0)</f>
        <v>0</v>
      </c>
      <c r="I104" s="54">
        <f>IF(Dati!$H$227&gt;0,(Dati!H217/Dati!$H$227),0)</f>
        <v>0</v>
      </c>
      <c r="J104" s="54">
        <f>IF(Dati!$I$227&gt;0,(Dati!I217/Dati!$I$227),0)</f>
        <v>0</v>
      </c>
      <c r="K104" s="54">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3">
        <f>IF((IF(Dati!$D$237=3,(Dati!$M$227+Dati!$O$227+Dati!$Q$227),(Dati!$O$227+Dati!$Q$227)/Dati!$D$237))&gt;0,((IF(Dati!$D$237=3,(Dati!M217+Dati!O217+Dati!Q217),(Dati!O217+Dati!Q217)/Dati!$D$237)/(IF(Dati!$D$237=3,(Dati!$M$227+Dati!$O$227+Dati!$Q$227),(Dati!$O$227+Dati!$Q$227)/Dati!$D$237)))),0)</f>
        <v>0</v>
      </c>
      <c r="M104" s="83">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83" t="s">
        <v>603</v>
      </c>
      <c r="B105" s="79" t="s">
        <v>572</v>
      </c>
      <c r="C105" s="60" t="s">
        <v>425</v>
      </c>
      <c r="D105" s="54">
        <f>IF(Dati!$D$227&gt;0,(Dati!D218/Dati!$D$227),0)</f>
        <v>0.011943001862452791</v>
      </c>
      <c r="E105" s="54">
        <f>IF(Dati!$E$227&gt;0,(Dati!E218/Dati!$E$227),0)</f>
        <v>0</v>
      </c>
      <c r="F105" s="54">
        <f>IF((Dati!D218-Dati!E218+Dati!K218)&gt;0,((Dati!J218)/(Dati!D218-Dati!E218+Dati!K218)),0)</f>
        <v>1</v>
      </c>
      <c r="G105" s="54">
        <f>IF(Dati!$F$227&gt;0,(Dati!F218/Dati!$F$227),0)</f>
        <v>0.01660242322680525</v>
      </c>
      <c r="H105" s="54">
        <f>IF(Dati!$G$227&gt;0,(Dati!G218/Dati!$G$227),0)</f>
        <v>0</v>
      </c>
      <c r="I105" s="54">
        <f>IF(Dati!$H$227&gt;0,(Dati!H218/Dati!$H$227),0)</f>
        <v>0.018908760347958395</v>
      </c>
      <c r="J105" s="54">
        <f>IF(Dati!$I$227&gt;0,(Dati!I218/Dati!$I$227),0)</f>
        <v>0</v>
      </c>
      <c r="K105" s="54">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0.020558507042492243</v>
      </c>
      <c r="L105" s="83">
        <f>IF((IF(Dati!$D$237=3,(Dati!$M$227+Dati!$O$227+Dati!$Q$227),(Dati!$O$227+Dati!$Q$227)/Dati!$D$237))&gt;0,((IF(Dati!$D$237=3,(Dati!M218+Dati!O218+Dati!Q218),(Dati!O218+Dati!Q218)/Dati!$D$237)/(IF(Dati!$D$237=3,(Dati!$M$227+Dati!$O$227+Dati!$Q$227),(Dati!$O$227+Dati!$Q$227)/Dati!$D$237)))),0)</f>
        <v>0</v>
      </c>
      <c r="M105" s="83">
        <f>IF((IF(Dati!$D$237=3,(Dati!L218+Dati!N218+Dati!Y218+Dati!U218+Dati!V218+Dati!W218),(Dati!N218+Dati!Y218+Dati!V218+Dati!W218)/Dati!$D$237))&gt;0,((IF(Dati!$D$237=3,(Dati!R218+Dati!S218+Dati!AC218),(Dati!S218+Dati!AC218)/Dati!$D$237)/(IF(Dati!$D$237=3,(Dati!L218+Dati!N218+Dati!Y218+Dati!U218+Dati!V218+Dati!W218),(Dati!N218+Dati!Y218+Dati!V218+Dati!W218)/Dati!$D$237)))),0)</f>
        <v>0.9905822474427658</v>
      </c>
    </row>
    <row r="106" spans="1:13" ht="15" customHeight="1">
      <c r="A106" s="183" t="s">
        <v>603</v>
      </c>
      <c r="B106" s="170" t="s">
        <v>604</v>
      </c>
      <c r="C106" s="170"/>
      <c r="D106" s="54">
        <f>IF(Dati!$D$227&gt;0,(Dati!D219/Dati!$D$227),0)</f>
        <v>0.011943001862452791</v>
      </c>
      <c r="E106" s="54">
        <f>IF(Dati!$E$227&gt;0,(Dati!E219/Dati!$E$227),0)</f>
        <v>0</v>
      </c>
      <c r="F106" s="54">
        <f>IF((Dati!D219-Dati!E219+Dati!K219)&gt;0,((Dati!J219)/(Dati!D219-Dati!E219+Dati!K219)),0)</f>
        <v>1</v>
      </c>
      <c r="G106" s="54">
        <f>IF(Dati!$F$227&gt;0,(Dati!F219/Dati!$F$227),0)</f>
        <v>0.01660242322680525</v>
      </c>
      <c r="H106" s="54">
        <f>IF(Dati!$G$227&gt;0,(Dati!G219/Dati!$G$227),0)</f>
        <v>0</v>
      </c>
      <c r="I106" s="54">
        <f>IF(Dati!$H$227&gt;0,(Dati!H219/Dati!$H$227),0)</f>
        <v>0.018908760347958395</v>
      </c>
      <c r="J106" s="54">
        <f>IF(Dati!$I$227&gt;0,(Dati!I219/Dati!$I$227),0)</f>
        <v>0</v>
      </c>
      <c r="K106" s="54">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0.020558507042492243</v>
      </c>
      <c r="L106" s="83">
        <f>IF((IF(Dati!$D$237=3,(Dati!$M$227+Dati!$O$227+Dati!$Q$227),(Dati!$O$227+Dati!$Q$227)/Dati!$D$237))&gt;0,((IF(Dati!$D$237=3,(Dati!M219+Dati!O219+Dati!Q219),(Dati!O219+Dati!Q219)/Dati!$D$237)/(IF(Dati!$D$237=3,(Dati!$M$227+Dati!$O$227+Dati!$Q$227),(Dati!$O$227+Dati!$Q$227)/Dati!$D$237)))),0)</f>
        <v>0</v>
      </c>
      <c r="M106" s="83">
        <f>IF((IF(Dati!$D$237=3,(Dati!L219+Dati!N219+Dati!Y219+Dati!U219+Dati!V219+Dati!W219),(Dati!N219+Dati!Y219+Dati!V219+Dati!W219)/Dati!$D$237))&gt;0,((IF(Dati!$D$237=3,(Dati!R219+Dati!S219+Dati!AC219),(Dati!S219+Dati!AC219)/Dati!$D$237)/(IF(Dati!$D$237=3,(Dati!L219+Dati!N219+Dati!Y219+Dati!U219+Dati!V219+Dati!W219),(Dati!N219+Dati!Y219+Dati!V219+Dati!W219)/Dati!$D$237)))),0)</f>
        <v>0.9905822474427658</v>
      </c>
    </row>
    <row r="107" spans="1:13" ht="25.5" customHeight="1">
      <c r="A107" s="180" t="s">
        <v>792</v>
      </c>
      <c r="B107" s="79" t="s">
        <v>578</v>
      </c>
      <c r="C107" s="60" t="s">
        <v>429</v>
      </c>
      <c r="D107" s="54">
        <f>IF(Dati!$D$227&gt;0,(Dati!D220/Dati!$D$227),0)</f>
        <v>0.14290026725844326</v>
      </c>
      <c r="E107" s="54">
        <f>IF(Dati!$E$227&gt;0,(Dati!E220/Dati!$E$227),0)</f>
        <v>0</v>
      </c>
      <c r="F107" s="54">
        <f>IF((Dati!D220-Dati!E220+Dati!K220)&gt;0,((Dati!J220)/(Dati!D220-Dati!E220+Dati!K220)),0)</f>
        <v>3.4972327428989104E-05</v>
      </c>
      <c r="G107" s="54">
        <f>IF(Dati!$F$227&gt;0,(Dati!F220/Dati!$F$227),0)</f>
        <v>0.14703538954356687</v>
      </c>
      <c r="H107" s="54">
        <f>IF(Dati!$G$227&gt;0,(Dati!G220/Dati!$G$227),0)</f>
        <v>0</v>
      </c>
      <c r="I107" s="54">
        <f>IF(Dati!$H$227&gt;0,(Dati!H220/Dati!$H$227),0)</f>
        <v>0.15954415706935735</v>
      </c>
      <c r="J107" s="54">
        <f>IF(Dati!$I$227&gt;0,(Dati!I220/Dati!$I$227),0)</f>
        <v>0</v>
      </c>
      <c r="K107" s="54">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0.09136993047161118</v>
      </c>
      <c r="L107" s="83">
        <f>IF((IF(Dati!$D$237=3,(Dati!$M$227+Dati!$O$227+Dati!$Q$227),(Dati!$O$227+Dati!$Q$227)/Dati!$D$237))&gt;0,((IF(Dati!$D$237=3,(Dati!M220+Dati!O220+Dati!Q220),(Dati!O220+Dati!Q220)/Dati!$D$237)/(IF(Dati!$D$237=3,(Dati!$M$227+Dati!$O$227+Dati!$Q$227),(Dati!$O$227+Dati!$Q$227)/Dati!$D$237)))),0)</f>
        <v>0</v>
      </c>
      <c r="M107" s="8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81" t="s">
        <v>605</v>
      </c>
      <c r="B108" s="169" t="s">
        <v>793</v>
      </c>
      <c r="C108" s="170"/>
      <c r="D108" s="54">
        <f>IF(Dati!$D$227&gt;0,(Dati!D221/Dati!$D$227),0)</f>
        <v>0.14290026725844326</v>
      </c>
      <c r="E108" s="54">
        <f>IF(Dati!$E$227&gt;0,(Dati!E221/Dati!$E$227),0)</f>
        <v>0</v>
      </c>
      <c r="F108" s="54">
        <f>IF((Dati!D221-Dati!E221+Dati!K221)&gt;0,((Dati!J221)/(Dati!D221-Dati!E221+Dati!K221)),0)</f>
        <v>3.4972327428989104E-05</v>
      </c>
      <c r="G108" s="54">
        <f>IF(Dati!$F$227&gt;0,(Dati!F221/Dati!$F$227),0)</f>
        <v>0.14703538954356687</v>
      </c>
      <c r="H108" s="54">
        <f>IF(Dati!$G$227&gt;0,(Dati!G221/Dati!$G$227),0)</f>
        <v>0</v>
      </c>
      <c r="I108" s="54">
        <f>IF(Dati!$H$227&gt;0,(Dati!H221/Dati!$H$227),0)</f>
        <v>0.15954415706935735</v>
      </c>
      <c r="J108" s="54">
        <f>IF(Dati!$I$227&gt;0,(Dati!I221/Dati!$I$227),0)</f>
        <v>0</v>
      </c>
      <c r="K108" s="54">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0.09136993047161118</v>
      </c>
      <c r="L108" s="83">
        <f>IF((IF(Dati!$D$237=3,(Dati!$M$227+Dati!$O$227+Dati!$Q$227),(Dati!$O$227+Dati!$Q$227)/Dati!$D$237))&gt;0,((IF(Dati!$D$237=3,(Dati!M221+Dati!O221+Dati!Q221),(Dati!O221+Dati!Q221)/Dati!$D$237)/(IF(Dati!$D$237=3,(Dati!$M$227+Dati!$O$227+Dati!$Q$227),(Dati!$O$227+Dati!$Q$227)/Dati!$D$237)))),0)</f>
        <v>0</v>
      </c>
      <c r="M108" s="8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82" t="s">
        <v>794</v>
      </c>
      <c r="B109" s="79" t="s">
        <v>578</v>
      </c>
      <c r="C109" s="60" t="s">
        <v>433</v>
      </c>
      <c r="D109" s="54">
        <f>IF(Dati!$D$227&gt;0,(Dati!D222/Dati!$D$227),0)</f>
        <v>0.19050679416993876</v>
      </c>
      <c r="E109" s="54">
        <f>IF(Dati!$E$227&gt;0,(Dati!E222/Dati!$E$227),0)</f>
        <v>0</v>
      </c>
      <c r="F109" s="54">
        <f>IF((Dati!D222-Dati!E222+Dati!K222)&gt;0,((Dati!J222)/(Dati!D222-Dati!E222+Dati!K222)),0)</f>
        <v>1</v>
      </c>
      <c r="G109" s="54">
        <f>IF(Dati!$F$227&gt;0,(Dati!F222/Dati!$F$227),0)</f>
        <v>0.1450433509167075</v>
      </c>
      <c r="H109" s="54">
        <f>IF(Dati!$G$227&gt;0,(Dati!G222/Dati!$G$227),0)</f>
        <v>0</v>
      </c>
      <c r="I109" s="54">
        <f>IF(Dati!$H$227&gt;0,(Dati!H222/Dati!$H$227),0)</f>
        <v>0.1562167584756511</v>
      </c>
      <c r="J109" s="54">
        <f>IF(Dati!$I$227&gt;0,(Dati!I222/Dati!$I$227),0)</f>
        <v>0</v>
      </c>
      <c r="K109" s="54">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0.09619284905831928</v>
      </c>
      <c r="L109" s="83">
        <f>IF((IF(Dati!$D$237=3,(Dati!$M$227+Dati!$O$227+Dati!$Q$227),(Dati!$O$227+Dati!$Q$227)/Dati!$D$237))&gt;0,((IF(Dati!$D$237=3,(Dati!M222+Dati!O222+Dati!Q222),(Dati!O222+Dati!Q222)/Dati!$D$237)/(IF(Dati!$D$237=3,(Dati!$M$227+Dati!$O$227+Dati!$Q$227),(Dati!$O$227+Dati!$Q$227)/Dati!$D$237)))),0)</f>
        <v>0</v>
      </c>
      <c r="M109" s="83">
        <f>IF((IF(Dati!$D$237=3,(Dati!L222+Dati!N222+Dati!Y222+Dati!U222+Dati!V222+Dati!W222),(Dati!N222+Dati!Y222+Dati!V222+Dati!W222)/Dati!$D$237))&gt;0,((IF(Dati!$D$237=3,(Dati!R222+Dati!S222+Dati!AC222),(Dati!S222+Dati!AC222)/Dati!$D$237)/(IF(Dati!$D$237=3,(Dati!L222+Dati!N222+Dati!Y222+Dati!U222+Dati!V222+Dati!W222),(Dati!N222+Dati!Y222+Dati!V222+Dati!W222)/Dati!$D$237)))),0)</f>
        <v>0.9234404830162232</v>
      </c>
    </row>
    <row r="110" spans="1:13" ht="37.5" customHeight="1">
      <c r="A110" s="183" t="s">
        <v>606</v>
      </c>
      <c r="B110" s="79" t="s">
        <v>572</v>
      </c>
      <c r="C110" s="60" t="s">
        <v>435</v>
      </c>
      <c r="D110" s="54">
        <f>IF(Dati!$D$227&gt;0,(Dati!D223/Dati!$D$227),0)</f>
        <v>0</v>
      </c>
      <c r="E110" s="54">
        <f>IF(Dati!$E$227&gt;0,(Dati!E223/Dati!$E$227),0)</f>
        <v>0</v>
      </c>
      <c r="F110" s="54">
        <f>IF((Dati!D223-Dati!E223+Dati!K223)&gt;0,((Dati!J223)/(Dati!D223-Dati!E223+Dati!K223)),0)</f>
        <v>0</v>
      </c>
      <c r="G110" s="54">
        <f>IF(Dati!$F$227&gt;0,(Dati!F223/Dati!$F$227),0)</f>
        <v>0</v>
      </c>
      <c r="H110" s="54">
        <f>IF(Dati!$G$227&gt;0,(Dati!G223/Dati!$G$227),0)</f>
        <v>0</v>
      </c>
      <c r="I110" s="54">
        <f>IF(Dati!$H$227&gt;0,(Dati!H223/Dati!$H$227),0)</f>
        <v>0</v>
      </c>
      <c r="J110" s="54">
        <f>IF(Dati!$I$227&gt;0,(Dati!I223/Dati!$I$227),0)</f>
        <v>0</v>
      </c>
      <c r="K110" s="54">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3">
        <f>IF((IF(Dati!$D$237=3,(Dati!$M$227+Dati!$O$227+Dati!$Q$227),(Dati!$O$227+Dati!$Q$227)/Dati!$D$237))&gt;0,((IF(Dati!$D$237=3,(Dati!M223+Dati!O223+Dati!Q223),(Dati!O223+Dati!Q223)/Dati!$D$237)/(IF(Dati!$D$237=3,(Dati!$M$227+Dati!$O$227+Dati!$Q$227),(Dati!$O$227+Dati!$Q$227)/Dati!$D$237)))),0)</f>
        <v>0</v>
      </c>
      <c r="M110" s="8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83" t="s">
        <v>606</v>
      </c>
      <c r="B111" s="169" t="s">
        <v>795</v>
      </c>
      <c r="C111" s="170"/>
      <c r="D111" s="54">
        <f>IF(Dati!$D$227&gt;0,(Dati!D224/Dati!$D$227),0)</f>
        <v>0.19050679416993876</v>
      </c>
      <c r="E111" s="54">
        <f>IF(Dati!$E$227&gt;0,(Dati!E224/Dati!$E$227),0)</f>
        <v>0</v>
      </c>
      <c r="F111" s="54">
        <f>IF((Dati!D224-Dati!E224+Dati!K224)&gt;0,((Dati!J224)/(Dati!D224-Dati!E224+Dati!K224)),0)</f>
        <v>1</v>
      </c>
      <c r="G111" s="54">
        <f>IF(Dati!$F$227&gt;0,(Dati!F224/Dati!$F$227),0)</f>
        <v>0.1450433509167075</v>
      </c>
      <c r="H111" s="54">
        <f>IF(Dati!$G$227&gt;0,(Dati!G224/Dati!$G$227),0)</f>
        <v>0</v>
      </c>
      <c r="I111" s="54">
        <f>IF(Dati!$H$227&gt;0,(Dati!H224/Dati!$H$227),0)</f>
        <v>0.1562167584756511</v>
      </c>
      <c r="J111" s="54">
        <f>IF(Dati!$I$227&gt;0,(Dati!I224/Dati!$I$227),0)</f>
        <v>0</v>
      </c>
      <c r="K111" s="54">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0.09619284905831928</v>
      </c>
      <c r="L111" s="83">
        <f>IF((IF(Dati!$D$237=3,(Dati!$M$227+Dati!$O$227+Dati!$Q$227),(Dati!$O$227+Dati!$Q$227)/Dati!$D$237))&gt;0,((IF(Dati!$D$237=3,(Dati!M224+Dati!O224+Dati!Q224),(Dati!O224+Dati!Q224)/Dati!$D$237)/(IF(Dati!$D$237=3,(Dati!$M$227+Dati!$O$227+Dati!$Q$227),(Dati!$O$227+Dati!$Q$227)/Dati!$D$237)))),0)</f>
        <v>0</v>
      </c>
      <c r="M111" s="83">
        <f>IF((IF(Dati!$D$237=3,(Dati!L224+Dati!N224+Dati!Y224+Dati!U224+Dati!V224+Dati!W224),(Dati!N224+Dati!Y224+Dati!V224+Dati!W224)/Dati!$D$237))&gt;0,((IF(Dati!$D$237=3,(Dati!R224+Dati!S224+Dati!AC224),(Dati!S224+Dati!AC224)/Dati!$D$237)/(IF(Dati!$D$237=3,(Dati!L224+Dati!N224+Dati!Y224+Dati!U224+Dati!V224+Dati!W224),(Dati!N224+Dati!Y224+Dati!V224+Dati!W224)/Dati!$D$237)))),0)</f>
        <v>0.9234404830162232</v>
      </c>
    </row>
    <row r="112" spans="1:13" ht="46.5" customHeight="1">
      <c r="A112" s="164" t="s">
        <v>739</v>
      </c>
      <c r="B112" s="165"/>
      <c r="C112" s="165"/>
      <c r="D112" s="165"/>
      <c r="E112" s="165"/>
      <c r="F112" s="165"/>
      <c r="G112" s="165"/>
      <c r="H112" s="165"/>
      <c r="I112" s="165"/>
      <c r="J112" s="165"/>
      <c r="K112" s="165"/>
      <c r="L112" s="165"/>
      <c r="M112" s="165"/>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Monica Pezzotta</cp:lastModifiedBy>
  <dcterms:modified xsi:type="dcterms:W3CDTF">2019-03-11T09:46:09Z</dcterms:modified>
  <cp:category/>
  <cp:version/>
  <cp:contentType/>
  <cp:contentStatus/>
</cp:coreProperties>
</file>